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480" windowHeight="11640" tabRatio="794" activeTab="3"/>
  </bookViews>
  <sheets>
    <sheet name="Instructions" sheetId="1" r:id="rId1"/>
    <sheet name="Basic Info" sheetId="2" r:id="rId2"/>
    <sheet name="Snapshot |15 Major Activities" sheetId="3" r:id="rId3"/>
    <sheet name="Major Activity 1" sheetId="4" r:id="rId4"/>
    <sheet name="Major Activity 2" sheetId="5" r:id="rId5"/>
    <sheet name="Major Activity 3" sheetId="6" r:id="rId6"/>
    <sheet name="Major Activity 4" sheetId="7" r:id="rId7"/>
    <sheet name="Major Activity 5" sheetId="8" r:id="rId8"/>
    <sheet name="Major Activity 6" sheetId="9" r:id="rId9"/>
    <sheet name="Major Activity 7" sheetId="10" r:id="rId10"/>
    <sheet name="Major Activity 8" sheetId="11" r:id="rId11"/>
    <sheet name="Major Activity 9" sheetId="12" r:id="rId12"/>
    <sheet name="Major Activity 10" sheetId="13" r:id="rId13"/>
    <sheet name="Major Activity 11" sheetId="14" r:id="rId14"/>
    <sheet name="Major Activity 12" sheetId="15" r:id="rId15"/>
    <sheet name="Major Activity 13" sheetId="16" r:id="rId16"/>
    <sheet name="Major Activity 14" sheetId="17" r:id="rId17"/>
    <sheet name="Major Activity 15" sheetId="18" r:id="rId18"/>
    <sheet name="Total Budget" sheetId="19" r:id="rId19"/>
  </sheets>
  <externalReferences>
    <externalReference r:id="rId22"/>
    <externalReference r:id="rId23"/>
  </externalReferences>
  <definedNames>
    <definedName name="_xlnm.Print_Titles" localSheetId="18">'Total Budget'!$1:$9</definedName>
    <definedName name="indirect_inputs">#REF!</definedName>
    <definedName name="Inflation" localSheetId="0">'Instructions'!#REF!</definedName>
    <definedName name="Inflation">'Basic Info'!$C$49</definedName>
    <definedName name="Org_inputs">#REF!</definedName>
    <definedName name="_xlnm.Print_Area" localSheetId="1">'Basic Info'!$A$1:$F$56</definedName>
    <definedName name="_xlnm.Print_Area" localSheetId="0">'Instructions'!$A$1:$F$27</definedName>
    <definedName name="_xlnm.Print_Area" localSheetId="14">'Major Activity 12'!$A$1:$I$45</definedName>
    <definedName name="_xlnm.Print_Area" localSheetId="15">'Major Activity 13'!$A$1:$I$50</definedName>
    <definedName name="_xlnm.Print_Area" localSheetId="16">'Major Activity 14'!$A$1:$I$41</definedName>
    <definedName name="_xlnm.Print_Area" localSheetId="8">'Major Activity 6'!$A$1:$I$35</definedName>
    <definedName name="_xlnm.Print_Area" localSheetId="18">'Total Budget'!$A$1:$J$173</definedName>
  </definedNames>
  <calcPr fullCalcOnLoad="1"/>
</workbook>
</file>

<file path=xl/sharedStrings.xml><?xml version="1.0" encoding="utf-8"?>
<sst xmlns="http://schemas.openxmlformats.org/spreadsheetml/2006/main" count="972" uniqueCount="559">
  <si>
    <t>Travel for regional staff member to attend 3 national workshops and 2 regional workshops on experience sharing. Cost of $2,500 per mission.</t>
  </si>
  <si>
    <t>Travel costs for 10 participants to attend the 3 national workshops on micro-credit institutions. Cost includes tavel to capital + DSA at an average rate of $1,500 per participant</t>
  </si>
  <si>
    <t>3 national workshops  @ $5,000 each</t>
  </si>
  <si>
    <t>3 national workshops for experience sharing @ $5,000</t>
  </si>
  <si>
    <t>2 regional workshop (year 1 and 4) for exchange and promotion of new prototypes and experience sharing @ $10,000 per workshop</t>
  </si>
  <si>
    <t>3 contracted services (studies) with national research centers @ $30,000 each</t>
  </si>
  <si>
    <t>6 studies cost for @ $20,000 per study</t>
  </si>
  <si>
    <t>6 prototypes for an average $15,000 each</t>
  </si>
  <si>
    <t>Travel for 3 national workshops per year @ $1,500 per participant for 10 participants</t>
  </si>
  <si>
    <t>4 pages newsletters @ $1000 for 3 countries and regional</t>
  </si>
  <si>
    <t>40 missions per country at $250 per local mission = 40 x $250 x 3 countries =$30,000</t>
  </si>
  <si>
    <t>According to the project timeline, 15% of platforms will be installed in Year 1, with 30% installed in year 2, 35% in year 3, and 20% in year 4.  All costs for installation reflect this 15%-30%-35%-20%-10% ratio.</t>
  </si>
  <si>
    <t>Cost to transport machinery to village = $250 (average) = $250 x 600 = $150,000</t>
  </si>
  <si>
    <t>Local artisans for installing platform at a rate of $300/platform = $300 x 600 villages =$180,000</t>
  </si>
  <si>
    <t>Local artisans for installing additional module at a rate of $150/platform = $150 x 600 villages =$90,000</t>
  </si>
  <si>
    <t>$5,625 x 600 villages = $3,375,000</t>
  </si>
  <si>
    <t>75 artisans x $1000 = $75,000</t>
  </si>
  <si>
    <t>$500 x 600 villages = $300,000</t>
  </si>
  <si>
    <t>9 missions for national consultant @ $1,500 per mission</t>
  </si>
  <si>
    <t>National consultant will visit each local administrative office (9 total) unit 4 times a year to collect detailed thematic information, to feed into development of operational toolkits and users guides.</t>
  </si>
  <si>
    <t>1 mission @$2,500 x 3 countries</t>
  </si>
  <si>
    <t>In-country travel cost for national consultant @ $1,500 *3 * 3 countries</t>
  </si>
  <si>
    <t>Travel for 19 participants to attend the regional exit-strategy review meeting.  Travel costs estimated at $2500 to include airfare, car, and DSA, etc.</t>
  </si>
  <si>
    <t>Travel for national consultants to collect all data in M&amp;E system for Senegal &amp; Burkina and for a sample of 50 MFPs for Mali</t>
  </si>
  <si>
    <t>Travel for national consultants for data collection x 3 countries @$2,500 per month x 3 months per country</t>
  </si>
  <si>
    <t>1 national consultant x $3000 X 2 X 9 = $54,000</t>
  </si>
  <si>
    <t>National consultant @ $3000/month x 3 months x 9 districts</t>
  </si>
  <si>
    <t>1 national consultant  x 1 months @$3000 per month x 9 local administrative offices</t>
  </si>
  <si>
    <t>1 national consultant/country @ $3,000 x 3 months/year x 3 countries</t>
  </si>
  <si>
    <t>2 national consultants costs (2 months each for Mali, Burkina &amp; Senegal) to collect all data in M&amp;E system for a sample of 50 MFPs</t>
  </si>
  <si>
    <t>4 months/per country at $5,000/mo = 4 x $5000 x 3 = $60,000/year</t>
  </si>
  <si>
    <t>1 review per year x 600 MFP x 2yrs x $250 per MFP=$300,000</t>
  </si>
  <si>
    <t>Regional expert support for regional and national “training of trainers” workshops for feasibility studies, literacy classes, financial planning, machine installation/operation</t>
  </si>
  <si>
    <t>1 national consultant for 3 month per country, plus 1.5 months per country for follow-up in year 3.</t>
  </si>
  <si>
    <t>Regional expert to provide guidance to local units for the MFP installation (on a gradually decreasing basis.  5 months in first year, 4 months in second year, etc.)</t>
  </si>
  <si>
    <t>1 regional expert @ $8,000 per month</t>
  </si>
  <si>
    <t xml:space="preserve">1 regional expert's support and input for development of new technology prototypes and services. </t>
  </si>
  <si>
    <r>
      <t>2 missions for regional staff @ $2,500 each per country for</t>
    </r>
    <r>
      <rPr>
        <b/>
        <sz val="8"/>
        <rFont val="Arial"/>
        <family val="2"/>
      </rPr>
      <t xml:space="preserve"> </t>
    </r>
    <r>
      <rPr>
        <sz val="8"/>
        <rFont val="Arial"/>
        <family val="0"/>
      </rPr>
      <t>year 1-4</t>
    </r>
  </si>
  <si>
    <t xml:space="preserve">9 mission for national consultant (1 per local administrative office) @ $1,500 each </t>
  </si>
  <si>
    <t>9 district studies (1 study per local administrative office) x 2 months each @ $3,000</t>
  </si>
  <si>
    <t>2 national consultants to develop capacities (on the field training) x 3 months @ $3000 per month x 9 local administrative offices</t>
  </si>
  <si>
    <t>$142.5 per pre study x 600 villages = $142,500</t>
  </si>
  <si>
    <t>Subcontract to local adminstrative office for pre study x $142.5 per village including district worshops @ $142.5 per village for 600 villages</t>
  </si>
  <si>
    <t>Subcontracting to local NGO at rate of $280/day for 5 days at each village = $1,400 per MFP x 600 = $ 840,000</t>
  </si>
  <si>
    <t>$75 per MFP x 600 = $45,000</t>
  </si>
  <si>
    <t>PFS for 600 villages @ $600 per village</t>
  </si>
  <si>
    <t>Travel for artisans to attend 2 yearly workshops. Total travel cost (average) per workshop = $10,000 x 3 countries =$30,000</t>
  </si>
  <si>
    <t>Supplies for 3 national training sessions per year @$5000 each.  Cost includes meeting facilities, supplies, document prepartation and printing, mailing, etc.</t>
  </si>
  <si>
    <t>Subcontract training services to local NGO at a rate of $30/day for 70 days of training per village = $2,100 per MFP x 600 = $1,260,000</t>
  </si>
  <si>
    <t>Training 75 new artisans = $1,540 x 75= $192,500</t>
  </si>
  <si>
    <t xml:space="preserve">Subcontracting for training of 75 artisans.  $1,540 x 1month.  </t>
  </si>
  <si>
    <t>Refresh training for 100 existing artisans = $704 x 2.5 x 100 =$ 176,000</t>
  </si>
  <si>
    <t>1 national consultant support for each national workshop for 0.5 month @ $3,000 per month</t>
  </si>
  <si>
    <t>National consultant @ $3,000 per month x 3 months = $12,000 per country</t>
  </si>
  <si>
    <t>1 national consultant per country for local innovations identification and technical consolidation for diffusion for 3 months @ $3,000 per month</t>
  </si>
  <si>
    <t>1 national consultant/country @ $3000 x 4 countries</t>
  </si>
  <si>
    <t>Regional expert will provide guidance and some oversight over the training of women's groups and artisan networks.</t>
  </si>
  <si>
    <t>1 regional expert @ $8000 per month</t>
  </si>
  <si>
    <t xml:space="preserve">1 regional expert's support and input for piloting the use of biofuels at select platforms. Total 12 months over 4 years @ $8,000 </t>
  </si>
  <si>
    <t>regional expert @ $8,000 per month, spending initially 6 months in year 1, then decreasing monthly basis</t>
  </si>
  <si>
    <t>UNDP indirect cost rate = 7% on total</t>
  </si>
  <si>
    <t>To develop community level exit-strategies, a regional workshop is needed for 30 participants (M&amp;E stakeholders and database administrators) per country per year</t>
  </si>
  <si>
    <t>1 regional workshop @ $10,000 per workshop.  Cost includes rental of conference facilities, interpretation services, document preparation, reporting, mailing, etc.</t>
  </si>
  <si>
    <t>Capacity development / "training of trainers" sessions held at the district and/or national level to train on all MFP aspects</t>
  </si>
  <si>
    <t>Regional workshop on piloting the use of biofuels</t>
  </si>
  <si>
    <t>Material costs for piloting biofuel use in 40 MFPs.</t>
  </si>
  <si>
    <t>Total Costs for Major Activity 3</t>
  </si>
  <si>
    <t>Regional experts to support development of community-level exit strategies.</t>
  </si>
  <si>
    <t>Travel for national consultant for assistance in monitoring/evaluating local partners.</t>
  </si>
  <si>
    <t>1 missions for regional staff per country @ $2,500 each</t>
  </si>
  <si>
    <t>1 national workshop per country in second and third year @ $5,000 per workshop</t>
  </si>
  <si>
    <t>Regional expert support for conducting a workshop for national program teams on  project management, planning, M&amp;E, knowledge management, codification, MFP business approach</t>
  </si>
  <si>
    <t>Regional expert needed to guide demand assessment process to identify a list of candidate villages to establish MFP-based agro-enterprises.</t>
  </si>
  <si>
    <t>2 regional experts to support preperation of template and guide + data analysis of Pre-Feasibility Studies.  2 experts @ $8,000 per month for 3 month each = $48,000</t>
  </si>
  <si>
    <t>Regional experts will travel to each country to guide the initial demand assessment process</t>
  </si>
  <si>
    <t>1 regional consultant@ $8,000 x 3 months</t>
  </si>
  <si>
    <t>1 regional consultant for guiding the data collection approach, review, quality control and simple presentational analysis of data for the 4 countries @$8,000/month for 3 months</t>
  </si>
  <si>
    <t>2 regional experts needed to support the preparation of a template and guide for conducting participatory feasibility studies in each of the candidate villages.</t>
  </si>
  <si>
    <t>A regional expert will travel to each country to guide the participatory feasiability study process</t>
  </si>
  <si>
    <t>Travel for gender expert to each local administrative office and selected villages</t>
  </si>
  <si>
    <t xml:space="preserve">mission for gender expert (1 per local administrative office) @ $1,500 each </t>
  </si>
  <si>
    <t>1 national gender expert per country for 2 months @ $3000</t>
  </si>
  <si>
    <t>1 national gender expert per country for @ $3000</t>
  </si>
  <si>
    <t>1 national gender expert per country  @ $3000</t>
  </si>
  <si>
    <t>1 national gender expert per country @ $3000</t>
  </si>
  <si>
    <t>1 inernational gender consultant @ $ 15,000</t>
  </si>
  <si>
    <t>1 international gender consultant @ $ 15,000</t>
  </si>
  <si>
    <t>Travel for regional workshop participants @$2500 each</t>
  </si>
  <si>
    <t>Travel for 2 regional experts to attend 6 "training of trainers" workshop (2 national workshops in year 1 and 2, + 2 refresher workshops) @ $2,500 per mission</t>
  </si>
  <si>
    <t>regional expert for 40 months.</t>
  </si>
  <si>
    <t>2 national consultants to facilitate the MFP planning process by working on: identifying micro-credit interventions, developing income generating opportunities, and capacity development activities.</t>
  </si>
  <si>
    <t>2 naitonal consultants @ $3000 per month x 5 months per year</t>
  </si>
  <si>
    <t>National consultant @ $250/day x 10days x 6 training sessions</t>
  </si>
  <si>
    <t>1 regional expert support for upgrading evaluation system, data analysis and continuous training. Three months per year @ $8,000 per month (in years 1 through 4)</t>
  </si>
  <si>
    <t>1 regional expert for preparation, template and continuous advice @ $8,000 for 3 months per year.</t>
  </si>
  <si>
    <t>1 regional expert @ $8,000 per month spending 12 months total over a 4 year period</t>
  </si>
  <si>
    <t>International consultant @ $15,000/month</t>
  </si>
  <si>
    <t>1 national consultant support for each workshop for 0.5 month @ $3,000 per month</t>
  </si>
  <si>
    <t>printing and editing average 100 page documents x 150 copies for each country @ $35,000 per 500 copies</t>
  </si>
  <si>
    <t>printing and editing average 50 page documents x 150 copies for each country @ $35,000 for 500 copies for 100 pages</t>
  </si>
  <si>
    <t>Travel cost for regional expert = $2,500 per mission x 20</t>
  </si>
  <si>
    <t>production of 1,000 CDs @ $7,000</t>
  </si>
  <si>
    <t>5 digital cameras @ $500</t>
  </si>
  <si>
    <t>regional expert @ $8,000 for total of 10 months</t>
  </si>
  <si>
    <t>regional expert @ $8,000 for 4 months per year</t>
  </si>
  <si>
    <t>$7,000 per oil press = 24 MFPs x $7,000 = $182,000</t>
  </si>
  <si>
    <t>regional experts @ $8,000 for 4 months</t>
  </si>
  <si>
    <t>Travel cost for regional expert = $2,500 per mission x 6 missions</t>
  </si>
  <si>
    <t>1 regional expert support 2 missions @$2,500 per 7 day mission</t>
  </si>
  <si>
    <t>National consultant to help conduct initial demand assessment process to identify a list of candidate vilalges.</t>
  </si>
  <si>
    <t>National consultant to help conduct participatory feasibility studies in each candidate vilallge to collect base-line indicators and ascertain business prospects and examine the financial/manegerial acapacity of rural women.</t>
  </si>
  <si>
    <t xml:space="preserve">1 rural animator per 10 villages to monitor and support the village through the 2.5 year MFP cycle. </t>
  </si>
  <si>
    <t>Contractor to monitor progress of each village toward its exit strategy x $250 per review</t>
  </si>
  <si>
    <t>Contractor for designing equipment and building/testing of new prototypes</t>
  </si>
  <si>
    <t>Prototypes of new technology options</t>
  </si>
  <si>
    <t>International consultant to conduct needs assessment</t>
  </si>
  <si>
    <t>1 national consultant for 3 months per country to work with government partners in guiding the mainstreaming process.</t>
  </si>
  <si>
    <t>2 regional experts support for template and coordination and continuous advice @ $8,000 per regional expert for 2 months each</t>
  </si>
  <si>
    <t>2 regional experts for 2 months per year @ $8,000 per month</t>
  </si>
  <si>
    <t>1 regional expert for preparation, data analysis and continuous advice @ $8,000 for 2 months per year</t>
  </si>
  <si>
    <t>Regional expert to manage government partnerships and support cross-sectoral dialogue sessions with government parnters and stakeholders for approving national MFP programs.</t>
  </si>
  <si>
    <t>1 national consultant per country to develop the User Guides for newly developed services and update operational toolkits</t>
  </si>
  <si>
    <t>1 regional expert @ $8,000 for 3 months per year</t>
  </si>
  <si>
    <t>Supplies for 1 regional workshop @ $10,000</t>
  </si>
  <si>
    <t>In country travel for 2 national training workshops 30 participants each, for artisans networking and experience sharing per country per year @ $500 per participant</t>
  </si>
  <si>
    <t>2 workshops @ $10,000 per workshop</t>
  </si>
  <si>
    <t>National workshops to approve national agro-processing programmes.  cost of workshop co-shared with national governments</t>
  </si>
  <si>
    <t>Roundtable meetings eith governments/donors.</t>
  </si>
  <si>
    <t>Supplies for national roundtable meetings</t>
  </si>
  <si>
    <t>Travel costs for participants to attend roundtable meetings.</t>
  </si>
  <si>
    <t>Travel costs for participants to attend national workshops. Cost of workshop co-shared with national governments</t>
  </si>
  <si>
    <t>A basic Platform containing a husker, miller and battery charger component costs approximately $7,500.  The village groups contribute 25% of the cost and the project covers 75%, on average.</t>
  </si>
  <si>
    <t>The addition of 100-300 platforms in each country will require expanding the network of artisans by an average 1 new artisan for 8 new MFPs to ensure proper maintenance and attention.  Each artisan receives a tool kit and materials with approximate value of $1,000</t>
  </si>
  <si>
    <t>1 regional expert x $8,000 x 3 = $24000</t>
  </si>
  <si>
    <t>Advisory services from the regional centers of excellence for monitoring/evaluatin local partners (monitoring and evaluation expert for 4 months x monthly rate of $5,000)</t>
  </si>
  <si>
    <t xml:space="preserve">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t>
  </si>
  <si>
    <t>2.4   Income generating activities enabled by increased availability of new MFP services and provision of adequate technology options</t>
  </si>
  <si>
    <t>2.5   National policy dialogue process initiated, endorsing MFP-based agro-enterprises</t>
  </si>
  <si>
    <t xml:space="preserve">2.6   National and local development plans and budgetary frameworks aligned to support an up-scaled agro-enterprise program over 10 years </t>
  </si>
  <si>
    <t>2.8 Operational experience captured in communication tools and guides</t>
  </si>
  <si>
    <t xml:space="preserve">3.1   Data from the implementation of MFPs gathered and distilled into lessons learned 3.2   Best practices published and shared </t>
  </si>
  <si>
    <t xml:space="preserve">3.3   Full-scale national MFP programs approved and launched in all four countries </t>
  </si>
  <si>
    <t>3.4   Strategy in place for scaling up MFP-based agro-enterprises in ECOWAS and the rest of Sub Saharan Africa</t>
  </si>
  <si>
    <t>2.7   Learning network on agro-processing enterprises is operational and linked to partner groups at national and community level</t>
  </si>
  <si>
    <t>1.1 MFP-based agro-enterprises installed and functioning in an autonomous manner</t>
  </si>
  <si>
    <t xml:space="preserve">Outputs </t>
  </si>
  <si>
    <t xml:space="preserve">2.1   Capacity building provided to national coordination offices </t>
  </si>
  <si>
    <t>2.2   Local experts (from academia, NGOs and private enterprises) trained on all aspects of MFP operations</t>
  </si>
  <si>
    <t>2.3   Local and national credit facilities made available to MFP-based enterprises for helping finance new equipment and income generating activities</t>
  </si>
  <si>
    <t>For monitoring/evaluating local partners, 1 national consultant needed to develop capacities/training of local administrative offices.  Consultant  @ $3,000 per month x 2 months x 11 local administrative offices</t>
  </si>
  <si>
    <t>1 national consultant support for each "training of trainers" workshop for $3,000 per workshop</t>
  </si>
  <si>
    <t>International consultant at $15,000 per month spending 0.5 months per workshop</t>
  </si>
  <si>
    <t>International consultant to support regional micr-credit workshops.  Two regional workshops in year 1 and two in year 3.</t>
  </si>
  <si>
    <t>National consultant at $3,000 per month spending 1 month per workshop</t>
  </si>
  <si>
    <t xml:space="preserve">1 national consultant support for 1 month per national micro-credit workshop. Rate of $3,000 per month. </t>
  </si>
  <si>
    <t>National consultant to monitor and support contracting of national market sector studies.  3 months per country per year. $3,000 per month</t>
  </si>
  <si>
    <t>1 national consultants support for monitoring and 2 market sector studies per country for an average 3 months @ $3,000</t>
  </si>
  <si>
    <t>2 national consultants x $3 000 x 3 months x 4 countries = $36,000</t>
  </si>
  <si>
    <t>2 national consutlants to conduct needs assessment</t>
  </si>
  <si>
    <t>To enable smallholder women farmers to increase and diversify their income by developing 600 multifunctional platform-based agro-enterprises in Burkina Faso, Mali and Senegal.</t>
  </si>
  <si>
    <t>2 regional experts x $8,000 x 2mo = $32,000per year</t>
  </si>
  <si>
    <t>2 regional experts to monitor/evaluate and provide input in training of local project partners @ $8,000 per reg expert for 2 months each</t>
  </si>
  <si>
    <t>A national consultant needed to spend 1month with each local administrative office to help develop community level exit strategies.</t>
  </si>
  <si>
    <t>Contracted services consists mostly of agreements with local NGOs and community organizations and therefore includes a capacity development element that the project must manage. As such, there are consistent indirect costs related to contracted services.</t>
  </si>
  <si>
    <r>
      <t>Total Indirect Costs</t>
    </r>
    <r>
      <rPr>
        <b/>
        <vertAlign val="superscript"/>
        <sz val="8"/>
        <color indexed="60"/>
        <rFont val="Arial"/>
        <family val="2"/>
      </rPr>
      <t>4</t>
    </r>
  </si>
  <si>
    <t>Appendix C: Budget Spreadsheet</t>
  </si>
  <si>
    <t>Budget Period 4</t>
  </si>
  <si>
    <t>Budget Period 5</t>
  </si>
  <si>
    <t>Objective 3:</t>
  </si>
  <si>
    <t>Year 5</t>
  </si>
  <si>
    <t>To enable governments to upscale their MFP programs by consolidating field-proven best practices into rural agro-enterprise models that are replicable and scalable across West Africa and other Sub Saharan countries.</t>
  </si>
  <si>
    <t xml:space="preserve">Year 4 </t>
  </si>
  <si>
    <t>Total Costs for Major Activity 1</t>
  </si>
  <si>
    <t xml:space="preserve">Personnel  </t>
  </si>
  <si>
    <t>One project expert to spend 1/2 day per village at rate of $150/day.</t>
  </si>
  <si>
    <t>Travel for national consultant to each local administrative office</t>
  </si>
  <si>
    <t>In order to upgrade evaluation and database system, 1 GPS needed per local administrative office @ $150 each for 11 local administrative offices</t>
  </si>
  <si>
    <t xml:space="preserve">2 regional workshop (year 1 and year 3) for 30 participants @ $10,000 each </t>
  </si>
  <si>
    <t>4 national workshops (1 per country) @$5,000</t>
  </si>
  <si>
    <t>250 x 8 page brochures and posters @ $3,000 for 4 countries and regional</t>
  </si>
  <si>
    <t>in country travel cost for national consultant @ $1,500 x 3 x 4 countries</t>
  </si>
  <si>
    <t>updating/maintenance of web site and other tools @ $2,000/month</t>
  </si>
  <si>
    <t>1 regional report @ $35,000</t>
  </si>
  <si>
    <t>1 international consultant for 1 months @ $15,000 for each country</t>
  </si>
  <si>
    <t>in country travel cost for national consultant @ $1,500  4 countries</t>
  </si>
  <si>
    <t>Subcontract to provide functional literacy and basic business training to the women’s groups.1 subcontract per MFP @ $2,100 each x 1,000</t>
  </si>
  <si>
    <t>Approximately 40 missions by national consultants for techinical issues support and artisans networking. 40 x (DSA$110 + TE$140) = $10,000</t>
  </si>
  <si>
    <t>1 national consultant support for conducting workshop and reporting @ $3,000 per worskhop</t>
  </si>
  <si>
    <t>Research and test the potential of using biofuels as a fuel substitute for the MFPs</t>
  </si>
  <si>
    <t>Develop and disseminate national and sub regional communication/advocacy materials</t>
  </si>
  <si>
    <t>Enhance knowledge codification and sharing to improve the effectiveness of MFP implementation</t>
  </si>
  <si>
    <t>Develop and launch full-scale national MFP programs and lending proposals for all four countries based on agro-enterprise models that are replicable and scaleable across the sub-region</t>
  </si>
  <si>
    <t>Develop and share with the international development community (e.g. donors, governments, etc) a strategy for how to replicate MFP-based agro-enterprises in ECOWAS and other Sub Saharan countries</t>
  </si>
  <si>
    <t>Objective 1:</t>
  </si>
  <si>
    <t>Major Activity 8:</t>
  </si>
  <si>
    <t>Major Activity 6:</t>
  </si>
  <si>
    <t>Major Activity 7:</t>
  </si>
  <si>
    <t xml:space="preserve">Major Activity 9: </t>
  </si>
  <si>
    <t>Major Activity 11:</t>
  </si>
  <si>
    <t>Major Activity 12:</t>
  </si>
  <si>
    <t>Major Activity 13:</t>
  </si>
  <si>
    <t>Major Activity 14:</t>
  </si>
  <si>
    <t>Major Activity 15:</t>
  </si>
  <si>
    <t>Total Cost</t>
  </si>
  <si>
    <t>TOTAL</t>
  </si>
  <si>
    <t>Total Costs for Major Activity 6</t>
  </si>
  <si>
    <t>Objective 2:</t>
  </si>
  <si>
    <t>Major Activity 6</t>
  </si>
  <si>
    <t>Major Activity 7</t>
  </si>
  <si>
    <t>Major Activity 8</t>
  </si>
  <si>
    <t>Major Activity 9</t>
  </si>
  <si>
    <t>Major Activity 10</t>
  </si>
  <si>
    <t>Major Activity 11</t>
  </si>
  <si>
    <t>Major Activity 12</t>
  </si>
  <si>
    <t>Major Activity 13</t>
  </si>
  <si>
    <t>Major Activity 14</t>
  </si>
  <si>
    <t>Major Activity 15</t>
  </si>
  <si>
    <t>This represents the cost of sending a project officer to the rural villages to confirm the Women's Group's commitment and confirm their financing plan.</t>
  </si>
  <si>
    <t>subtotal</t>
  </si>
  <si>
    <t>travel cost to attend regional workshop @ $2,500 per participant</t>
  </si>
  <si>
    <t>Regional expert will provide substantive guidance to organise workshops. 1.5 months per workshop @ $8000 per month</t>
  </si>
  <si>
    <t xml:space="preserve">Personnel cost include fringe benefits and are in line with UN rules and regulations pertaining to national and international salary scales (see http://icsc.un.org for more information). </t>
  </si>
  <si>
    <t>Fringe benefits included in Personnel costs.  See note above.</t>
  </si>
  <si>
    <r>
      <t xml:space="preserve">Sub-grants to other organizations: </t>
    </r>
    <r>
      <rPr>
        <sz val="11"/>
        <rFont val="Arial"/>
        <family val="2"/>
      </rPr>
      <t>funds that will be used to make grants to other organizations in furtherance of the project</t>
    </r>
  </si>
  <si>
    <r>
      <t xml:space="preserve">Equipment: </t>
    </r>
    <r>
      <rPr>
        <sz val="11"/>
        <rFont val="Arial"/>
        <family val="2"/>
      </rPr>
      <t>cost of computers, printers, faxes, telephones, vehicles, and other office equipment purchased and used for this project (not general indirect costs)</t>
    </r>
  </si>
  <si>
    <t>UNDP</t>
  </si>
  <si>
    <t>1 national consultant per country to conduct national thematic workshops (4 per country) for the national program teams.  Workshops on  project management, planning, M&amp;E knowledge management, codification, MFP business approach, and reporting. Consultnat cost is $3,000 per workshop.</t>
  </si>
  <si>
    <t xml:space="preserve">1 regional expert for 1.5 months per year @ $8,000 per month </t>
  </si>
  <si>
    <t>Regional expert to work with international and national consultants on strengthening national policires for strengthening agro-eneterprises into national policy frameworks and budgets, including PRSPs</t>
  </si>
  <si>
    <t xml:space="preserve">Writing, editing and printing costs to produce document on agro-enterprise up scalling. </t>
  </si>
  <si>
    <t>Regional experts @ 8000 for 4 months</t>
  </si>
  <si>
    <t>In country travel cost for national consultant @ $1,500 per trip.  3 units per country.</t>
  </si>
  <si>
    <t>National consultant will visit each local administrative office (3 in each country) unit twice a year</t>
  </si>
  <si>
    <t>in French and English</t>
  </si>
  <si>
    <t>2 national consultants @ $3,000/month for 3 months per country</t>
  </si>
  <si>
    <t>Regional experts will coordinate the full-scale national MFP launching process and participate in formulation of documents. 3 months per country</t>
  </si>
  <si>
    <t>4 field visits @ ~$10,000 per visit</t>
  </si>
  <si>
    <t>travel cost to attend sub regional workshop @ 2,000 per participant</t>
  </si>
  <si>
    <t>travel cost to attend regional (all Africa) workshop @ 3,000 per participant</t>
  </si>
  <si>
    <t>regional expert @8000 for 4 months</t>
  </si>
  <si>
    <t>1 international consultant @ 15,000/month</t>
  </si>
  <si>
    <t xml:space="preserve">Install multifunctional platforms including depots for spare parts and equipment for artisans </t>
  </si>
  <si>
    <t xml:space="preserve">Expand financing options by supporting national partners in identifying micro-credit institutions and developing partnerships to help extend micro-credit to MFP communities  </t>
  </si>
  <si>
    <t>3) Enter Budget Periods</t>
  </si>
  <si>
    <t>Start Date</t>
  </si>
  <si>
    <t>End Date</t>
  </si>
  <si>
    <t># of months</t>
  </si>
  <si>
    <t>Budget Period 1</t>
  </si>
  <si>
    <t>Budget Period 2</t>
  </si>
  <si>
    <t>Budget Period 3</t>
  </si>
  <si>
    <t>4) Specify Other Budget Factors</t>
  </si>
  <si>
    <t>Inflation Factor</t>
  </si>
  <si>
    <t>Indirect Cost Rate</t>
  </si>
  <si>
    <t>Activities</t>
  </si>
  <si>
    <t>Indirect Cost Rate Options</t>
  </si>
  <si>
    <t>Inflation Options</t>
  </si>
  <si>
    <t>Curriculum Development</t>
  </si>
  <si>
    <t>Training, Coaching, TA</t>
  </si>
  <si>
    <t>Community Engagement &amp; Outreach</t>
  </si>
  <si>
    <t>Product &amp; Materials Production</t>
  </si>
  <si>
    <t>Communication &amp; Dissemination</t>
  </si>
  <si>
    <t>Field Work</t>
  </si>
  <si>
    <t>Activity 1</t>
  </si>
  <si>
    <r>
      <t>COST CATEGORIES:</t>
    </r>
    <r>
      <rPr>
        <sz val="11"/>
        <rFont val="Arial"/>
        <family val="2"/>
      </rPr>
      <t xml:space="preserve">  For each of the Major Activities, you'll provide budget details for the following cost categories.  You may not need to use all the categories for each activity. These categories are specified by the foundation and should not be changed.</t>
    </r>
  </si>
  <si>
    <t xml:space="preserve">PROSPECTIVE GRANTS: Your grant proposal must include a proposed budget. </t>
  </si>
  <si>
    <r>
      <t>5)</t>
    </r>
    <r>
      <rPr>
        <sz val="11"/>
        <rFont val="Arial"/>
        <family val="2"/>
      </rPr>
      <t xml:space="preserve">  Review the final </t>
    </r>
    <r>
      <rPr>
        <b/>
        <sz val="11"/>
        <rFont val="Arial"/>
        <family val="2"/>
      </rPr>
      <t>Total Budget</t>
    </r>
    <r>
      <rPr>
        <sz val="11"/>
        <rFont val="Arial"/>
        <family val="2"/>
      </rPr>
      <t>. It will be completed automatically based on information entered on other worksheets.</t>
    </r>
  </si>
  <si>
    <r>
      <t>6)</t>
    </r>
    <r>
      <rPr>
        <sz val="11"/>
        <rFont val="Arial"/>
        <family val="2"/>
      </rPr>
      <t xml:space="preserve"> Save the workbook and submit it to the Foundation with your Grant Proposal.</t>
    </r>
  </si>
  <si>
    <t>II. DEFINITIONS</t>
  </si>
  <si>
    <t>version 02.28.06</t>
  </si>
  <si>
    <r>
      <t>1)</t>
    </r>
    <r>
      <rPr>
        <sz val="11"/>
        <rFont val="Arial"/>
        <family val="2"/>
      </rPr>
      <t xml:space="preserve">  Review the Definitions section below.</t>
    </r>
  </si>
  <si>
    <r>
      <t xml:space="preserve">3) </t>
    </r>
    <r>
      <rPr>
        <sz val="11"/>
        <rFont val="Arial"/>
        <family val="2"/>
      </rPr>
      <t xml:space="preserve"> Next, use the worksheets with the red tabs and black text, following steps 4 -6 below:</t>
    </r>
  </si>
  <si>
    <r>
      <t xml:space="preserve">MAJOR ACTIVITIES: </t>
    </r>
    <r>
      <rPr>
        <sz val="11"/>
        <rFont val="Arial"/>
        <family val="2"/>
      </rPr>
      <t xml:space="preserve"> Your budget will be organized according to the major activities for your project.  You'll select the major activities that are most appropriate to your project.  </t>
    </r>
  </si>
  <si>
    <r>
      <t xml:space="preserve">Travel:  </t>
    </r>
    <r>
      <rPr>
        <sz val="11"/>
        <rFont val="Arial"/>
        <family val="2"/>
      </rPr>
      <t>all travel related expenses incurred as a result of this project</t>
    </r>
  </si>
  <si>
    <r>
      <t xml:space="preserve">Consultants: </t>
    </r>
    <r>
      <rPr>
        <sz val="11"/>
        <rFont val="Arial"/>
        <family val="2"/>
      </rPr>
      <t>amounts paid non-employees retained to complete work for this project</t>
    </r>
  </si>
  <si>
    <r>
      <t>Supplies:</t>
    </r>
    <r>
      <rPr>
        <sz val="11"/>
        <rFont val="Arial"/>
        <family val="2"/>
      </rPr>
      <t xml:space="preserve"> cost of office supplies and services (photocopying, shipping, etc.) specifically related to this project (not general indirect costs)</t>
    </r>
  </si>
  <si>
    <r>
      <t>Fringe Benefits:</t>
    </r>
    <r>
      <rPr>
        <sz val="11"/>
        <rFont val="Arial"/>
        <family val="2"/>
      </rPr>
      <t xml:space="preserve"> costs related to personnel involved with the project, including pension contributions and other benefits provided to the employees</t>
    </r>
  </si>
  <si>
    <r>
      <t xml:space="preserve">Contracted Services: </t>
    </r>
    <r>
      <rPr>
        <sz val="11"/>
        <rFont val="Arial"/>
        <family val="2"/>
      </rPr>
      <t>amounts paid to other entities contracted to complete work for this project</t>
    </r>
  </si>
  <si>
    <t xml:space="preserve">mission for gender and other experts (2 per local administrative office) @ $1,500 each </t>
  </si>
  <si>
    <t>1 international consultant @$15,000 x 4 months</t>
  </si>
  <si>
    <t>2 international consultants to complete stock-taking exercise of past decade. International consultant to conduct mid-term and final project evaluation. 4 months per evaluation.</t>
  </si>
  <si>
    <t xml:space="preserve">National gender expert in each national coordination unit to develop specific training modules and train project staff and sub contractors to ensure gender dimension is fully accounted during feasibility studies and training of beneficiaries. </t>
  </si>
  <si>
    <t>To support/guide development of gender modules and draw lessons from feasibilty studies.To guide gender assessments and formulate regional documents drawing from various national experiences</t>
  </si>
  <si>
    <t>National consultants needed to conduct detailed socio-economic impact assessment of 250 villages and other thematic assessments</t>
  </si>
  <si>
    <r>
      <t>DIRECT COST CATEGORIES:</t>
    </r>
    <r>
      <rPr>
        <sz val="11"/>
        <rFont val="Arial"/>
        <family val="2"/>
      </rPr>
      <t xml:space="preserve">  You'll enter direct costs for each of the Major Activities you have selected. Use the direct cost categories, defined below, as needed.  Please don't change these direct cost categories.</t>
    </r>
  </si>
  <si>
    <r>
      <t xml:space="preserve">Personnel:  </t>
    </r>
    <r>
      <rPr>
        <sz val="11"/>
        <rFont val="Arial"/>
        <family val="2"/>
      </rPr>
      <t>compensation to officers, directors, trustees and employees for work on this project</t>
    </r>
  </si>
  <si>
    <t>Prepared by:</t>
  </si>
  <si>
    <t>Line Item 1</t>
  </si>
  <si>
    <t>Line Item 2</t>
  </si>
  <si>
    <t>Benefits</t>
  </si>
  <si>
    <t>Line Item 3</t>
  </si>
  <si>
    <t>Consulting &amp; Professional Fees</t>
  </si>
  <si>
    <t>Units</t>
  </si>
  <si>
    <t>Line Item 4</t>
  </si>
  <si>
    <t>Materials and Supplies</t>
  </si>
  <si>
    <t>Line Item 5</t>
  </si>
  <si>
    <t>Travel cost for trainers = $1,500 x 10 participants x 6 = $90,000</t>
  </si>
  <si>
    <t>Computers and Equipment</t>
  </si>
  <si>
    <t>Line Item 6</t>
  </si>
  <si>
    <t>Printing and Publications</t>
  </si>
  <si>
    <t>Line Item 7</t>
  </si>
  <si>
    <t>Travel &amp; Accommodations</t>
  </si>
  <si>
    <t>Line Item 8</t>
  </si>
  <si>
    <t>Conferences, Conventions, Meetings</t>
  </si>
  <si>
    <t>ENTER BASIC BUDGET INFORMATION</t>
  </si>
  <si>
    <t>1) Enter Project Information</t>
  </si>
  <si>
    <t>Organization Name</t>
  </si>
  <si>
    <t>2) Specify Major Activities:</t>
  </si>
  <si>
    <t>Major Activity 1</t>
  </si>
  <si>
    <t>Project Administration</t>
  </si>
  <si>
    <t>Major Activity 2</t>
  </si>
  <si>
    <t>Activity 2</t>
  </si>
  <si>
    <t>Major Activity 3</t>
  </si>
  <si>
    <t>Activity 3</t>
  </si>
  <si>
    <t>Major Activity 4</t>
  </si>
  <si>
    <t>Activity 4</t>
  </si>
  <si>
    <t>Major Activity 5</t>
  </si>
  <si>
    <t>Activity 5</t>
  </si>
  <si>
    <t>Activity 6</t>
  </si>
  <si>
    <t>Activity 7</t>
  </si>
  <si>
    <t>Activity 8</t>
  </si>
  <si>
    <t>Activity 9</t>
  </si>
  <si>
    <t>Activity 10</t>
  </si>
  <si>
    <t>Develop and update operational toolkits and user guides, covering 20 different modules, including installing/operating  new technologies, accessing micro-credit, conducting  feasibilities studies, business formulation, M&amp;E, gender, etc</t>
  </si>
  <si>
    <t>To support/guide development of gender modules and draw lessons from feasibilty studies</t>
  </si>
  <si>
    <t>National gender expert in each national coordination unit to develop specific training modules and train project staff and sub contractors to ensure gender dimension is fully accounted for during feasibility studies</t>
  </si>
  <si>
    <t>To support/guide development of gender modules</t>
  </si>
  <si>
    <t>1 animator x 60 MFP x 2.5years x $2,400 = $360,000</t>
  </si>
  <si>
    <t>1 national consultant/country @ $3,000 x 3 months x 3 countries</t>
  </si>
  <si>
    <t>2 national consultants/country @ $2,500 x 4 months x 3 countries</t>
  </si>
  <si>
    <t>production of operational guide @ $25,500 x 1 + 3 updates</t>
  </si>
  <si>
    <t>National gender expert in each national coordination unit to develop specific training modules and train project staff and sub contractors to ensure gender dimension is fully accounted during training of beneficiaries</t>
  </si>
  <si>
    <t>To support/guide development of gender analysis</t>
  </si>
  <si>
    <t>National gender expert in each national coordination unit to develop specific gender indicators into M&amp;E system and undertake gender analysis based on data gathered</t>
  </si>
  <si>
    <t>National gender expert in each national coordination unit to develop specific training modules and train local project staff and sub contractors to ensure gender dimension is fully accounted for in project actiivties</t>
  </si>
  <si>
    <t>To prepare and undertake initial training of national staff in regional and 4 national programmes</t>
  </si>
  <si>
    <t>National gender expert in each national coordination unit to support insertion of gender dimension into national policies</t>
  </si>
  <si>
    <t>To prepare gender toolkits drawing from experiences from the field</t>
  </si>
  <si>
    <t>Project Title</t>
  </si>
  <si>
    <t>Other</t>
  </si>
  <si>
    <t>I.  GETTING STARTED</t>
  </si>
  <si>
    <t>Basic Info Tab</t>
  </si>
  <si>
    <t>Budget Tabs</t>
  </si>
  <si>
    <r>
      <t>2)</t>
    </r>
    <r>
      <rPr>
        <sz val="11"/>
        <rFont val="Arial"/>
        <family val="2"/>
      </rPr>
      <t xml:space="preserve">  Click the </t>
    </r>
    <r>
      <rPr>
        <b/>
        <sz val="11"/>
        <rFont val="Arial"/>
        <family val="2"/>
      </rPr>
      <t>Basic Info</t>
    </r>
    <r>
      <rPr>
        <sz val="11"/>
        <rFont val="Arial"/>
        <family val="2"/>
      </rPr>
      <t xml:space="preserve"> tab and provide the requested information.</t>
    </r>
  </si>
  <si>
    <t>Total Equipment</t>
  </si>
  <si>
    <t>Total Sub-grants to Others Organizations</t>
  </si>
  <si>
    <t>Total Fringe Benefits</t>
  </si>
  <si>
    <t>Project Title:</t>
  </si>
  <si>
    <t>Date:</t>
  </si>
  <si>
    <t>Major Activity 1:</t>
  </si>
  <si>
    <t xml:space="preserve">Grand Total Costs </t>
  </si>
  <si>
    <t>Major Activity 2:</t>
  </si>
  <si>
    <t>Major Activity 3:</t>
  </si>
  <si>
    <t>Travel</t>
  </si>
  <si>
    <t>Personnel</t>
  </si>
  <si>
    <t>Fringe Benefits</t>
  </si>
  <si>
    <t>Equipment</t>
  </si>
  <si>
    <t>Supplies</t>
  </si>
  <si>
    <t>Contracted Services</t>
  </si>
  <si>
    <t>Sub-grants to Others Organizations</t>
  </si>
  <si>
    <t>Consultants</t>
  </si>
  <si>
    <t>Total Travel</t>
  </si>
  <si>
    <t>Total Costs for Major Activity 5</t>
  </si>
  <si>
    <t>NOTES</t>
  </si>
  <si>
    <t>Organization Name:</t>
  </si>
  <si>
    <t xml:space="preserve">Project Title: </t>
  </si>
  <si>
    <t>Subtotal of Modified Direct Costs</t>
  </si>
  <si>
    <t>Subtotal of Modified Direct Costs and Indirect Costs</t>
  </si>
  <si>
    <t>Subtotal of Sub-grants/contracts</t>
  </si>
  <si>
    <t>Subtotal of Sub-grants/contracts and Allowable Indirect Costs</t>
  </si>
  <si>
    <t>Total Direct Costs</t>
  </si>
  <si>
    <r>
      <t xml:space="preserve">     </t>
    </r>
    <r>
      <rPr>
        <i/>
        <sz val="8"/>
        <rFont val="Arial"/>
        <family val="2"/>
      </rPr>
      <t>Description</t>
    </r>
  </si>
  <si>
    <r>
      <t>1</t>
    </r>
    <r>
      <rPr>
        <sz val="8"/>
        <rFont val="Arial"/>
        <family val="0"/>
      </rPr>
      <t xml:space="preserve"> All amounts must be in US $</t>
    </r>
  </si>
  <si>
    <r>
      <t>Allowable Indirect Costs on Sub-grants/contracts</t>
    </r>
    <r>
      <rPr>
        <b/>
        <vertAlign val="superscript"/>
        <sz val="8"/>
        <rFont val="Arial"/>
        <family val="2"/>
      </rPr>
      <t xml:space="preserve"> 2, 3 </t>
    </r>
  </si>
  <si>
    <r>
      <t>Total Requested Amount (US $)</t>
    </r>
    <r>
      <rPr>
        <b/>
        <vertAlign val="superscript"/>
        <sz val="8"/>
        <rFont val="Arial"/>
        <family val="2"/>
      </rPr>
      <t>1</t>
    </r>
    <r>
      <rPr>
        <b/>
        <sz val="8"/>
        <rFont val="Arial"/>
        <family val="2"/>
      </rPr>
      <t>:</t>
    </r>
  </si>
  <si>
    <r>
      <t xml:space="preserve">Non-U.S. Grants Only </t>
    </r>
    <r>
      <rPr>
        <sz val="7"/>
        <rFont val="Arial"/>
        <family val="2"/>
      </rPr>
      <t>Total Costs to be spent in U.S</t>
    </r>
    <r>
      <rPr>
        <b/>
        <sz val="7"/>
        <rFont val="Arial"/>
        <family val="2"/>
      </rPr>
      <t>.</t>
    </r>
  </si>
  <si>
    <t>Major Activity 4:</t>
  </si>
  <si>
    <t>Major Activity 5:</t>
  </si>
  <si>
    <t>Indirect Costs on Modified Direct Costs</t>
  </si>
  <si>
    <t>University</t>
  </si>
  <si>
    <t>Government</t>
  </si>
  <si>
    <t>Column1</t>
  </si>
  <si>
    <t>Conduct village-level feasibility studies for enterprise formation, including business and financing plans and gender analyzes for each village</t>
  </si>
  <si>
    <t>Create the enabling conditions for the MFP-based enterprises by training women’s groups and artisan networks and ensuring gender sensitive training</t>
  </si>
  <si>
    <t>Conduct village-level monitoring and evaluation, including data gathering for detailed thematic assessments and gender analysis</t>
  </si>
  <si>
    <t>Strengthen the capacity of national program teams and local partners on all aspects of MFP planning and  implementation, including gender analysis</t>
  </si>
  <si>
    <t>Strengthen national policy frameworks, including national poverty reduction strategies and budgets, to support the expansion of MFP-based agro-enterprises and ensure gender dynamics are integrated in national policies</t>
  </si>
  <si>
    <t>Expansion of Successful Poverty Reduction and Women’s Empowerment Model in West Africa. Project Number 45498</t>
  </si>
  <si>
    <t>Expansion of Successful Poverty Reduction and Women’s Empowerment Model in West Africa Project Number 45498</t>
  </si>
  <si>
    <t>To strengthen human and institutional capacities, including expanding technology and financing options and strengthening knowledge management, in support of implementing national multifunctional platform programs</t>
  </si>
  <si>
    <r>
      <t xml:space="preserve">Objective 2: </t>
    </r>
    <r>
      <rPr>
        <i/>
        <sz val="10"/>
        <rFont val="Arial"/>
        <family val="2"/>
      </rPr>
      <t>To strengthen human and institutional capacities, including expanding technology and financing options and strengthening knowledge management, in support of implementing national multifunctional platform programs</t>
    </r>
  </si>
  <si>
    <r>
      <t xml:space="preserve">Objective 1: </t>
    </r>
    <r>
      <rPr>
        <i/>
        <sz val="10"/>
        <rFont val="Arial"/>
        <family val="2"/>
      </rPr>
      <t>To enable smallholder women farmers to increase and diversify their income by developing 1,000 multifunctional platform-based agro-enterprises in Burkina Faso, Ghana, Mali and Senegal.</t>
    </r>
  </si>
  <si>
    <r>
      <t xml:space="preserve">Objective 3: </t>
    </r>
    <r>
      <rPr>
        <i/>
        <sz val="10"/>
        <rFont val="Arial"/>
        <family val="2"/>
      </rPr>
      <t>To enable governments to upscale their MFP programs by consolidating field-proven best practices into rural agro-enterprise models that are replicable and scalable across West Africa and other Sub Saharan countries.</t>
    </r>
  </si>
  <si>
    <t>Total Costs for Major Activity 10</t>
  </si>
  <si>
    <t>Major Activity 10:</t>
  </si>
  <si>
    <t>2 national workshops per country (in year 1 &amp; 4) @ $5,000 per country</t>
  </si>
  <si>
    <t>supplies for regional workshops @ $10,000</t>
  </si>
  <si>
    <t>Studies on identifying new income generating opportunities along the agro-processing value chain</t>
  </si>
  <si>
    <t>Travel for 10 participants attending a regional workshop in Dakar, including airfare and DSA</t>
  </si>
  <si>
    <t>International Consultant @ $15,000 /mo.</t>
  </si>
  <si>
    <t xml:space="preserve">     Position/FTE/Annual Base Salary</t>
  </si>
  <si>
    <t>% of Total</t>
  </si>
  <si>
    <t>3 missions to countries each year for 1 regional expert (air ticket + DSA + TE)</t>
  </si>
  <si>
    <t>1 GPS per administrative office @ $150 each</t>
  </si>
  <si>
    <t>1 international consultant for 1 month per country @ $15,000 per month (all included)</t>
  </si>
  <si>
    <t>Budget Line Items</t>
  </si>
  <si>
    <t>Year 1</t>
  </si>
  <si>
    <t xml:space="preserve">     Description/rate</t>
  </si>
  <si>
    <t xml:space="preserve">     Item/Qty</t>
  </si>
  <si>
    <t xml:space="preserve">     Organization/Activity</t>
  </si>
  <si>
    <t>Year 2</t>
  </si>
  <si>
    <t>Year 3</t>
  </si>
  <si>
    <t>Total</t>
  </si>
  <si>
    <t xml:space="preserve">Total Personnel </t>
  </si>
  <si>
    <t>Total Consultants</t>
  </si>
  <si>
    <t>Total Contracted Services</t>
  </si>
  <si>
    <t>International conference with focus on sharing lessons across Africa.</t>
  </si>
  <si>
    <t>4 thematic national "training of trainers" workshops + 2 refresh trainings @ $5,000 per session (6 total)</t>
  </si>
  <si>
    <t>National consultant at $3,000 per training session</t>
  </si>
  <si>
    <t>Training session held for national program teams on  project management, planning, M&amp;E, knowledge management, codification, MFP business approach. 1 workshop per count</t>
  </si>
  <si>
    <t>Training session in each country for artisans networking and experience sharing @ $5,000 each</t>
  </si>
  <si>
    <t>regional expert @ 8000 for 6 months</t>
  </si>
  <si>
    <t>Travel cost for regional expert @ $2500 per mission x 20</t>
  </si>
  <si>
    <t>2 regional report @ 35,000</t>
  </si>
  <si>
    <t>2 International consultants, spending 1 month each to work on prodocs</t>
  </si>
  <si>
    <t>2 International consultants, spending 1 month each per country, to work on lending proposals</t>
  </si>
  <si>
    <t>Total Costs for Major Activity 2</t>
  </si>
  <si>
    <t>Total Costs for Major Activity 4</t>
  </si>
  <si>
    <t>Total Costs for Major Activity 7</t>
  </si>
  <si>
    <t>Total Costs for Major Activity 8</t>
  </si>
  <si>
    <t>Total Costs for Major Activity 9</t>
  </si>
  <si>
    <t>Total Costs for Major Activity 11</t>
  </si>
  <si>
    <t>Total Costs for Major Activity 12</t>
  </si>
  <si>
    <t>Total Costs for Major Activity 13</t>
  </si>
  <si>
    <t>Total Costs for Major Activity 14</t>
  </si>
  <si>
    <t>Total Costs for Major Activity 15</t>
  </si>
  <si>
    <t>Major Activity</t>
  </si>
  <si>
    <t>Year 4</t>
  </si>
  <si>
    <t>2 subcontract with national research centers at a rate of $30,000 per study</t>
  </si>
  <si>
    <t>Two studies on the economic and technical sustainability of the biofuel MFP</t>
  </si>
  <si>
    <t>1 subcontract for continious technical revision and improvement of the data base and GIS tools @ $5,000 per year</t>
  </si>
  <si>
    <t>$5000/year per country</t>
  </si>
  <si>
    <t>regional expert for 40 months</t>
  </si>
  <si>
    <t>regional expert to elaborate and implement strategy and guide elaboration of national strategies</t>
  </si>
  <si>
    <t>1 national consultant/country @ $3000 x 3 months x 4 countries = $36,000</t>
  </si>
  <si>
    <t>Contract company to update business model diagnostic tool at a lump rate of $20,000</t>
  </si>
  <si>
    <t>regional expert for 4 months per year</t>
  </si>
  <si>
    <t>Installation of multifunctional platforms in the selected villages, including depots for spare parts and equipment for artisan.</t>
  </si>
  <si>
    <t>travel for participants of 2 regional workshops at $2,500 per participant x 10 participants = $15,000 per workshop</t>
  </si>
  <si>
    <t>Travel for regional expert to each country; average trip cost = $2,500 x 4 countries = $10,000</t>
  </si>
  <si>
    <t>Regional expert to travel to each country for national policy dialogue session each year at cost of $2,500 per mission.</t>
  </si>
  <si>
    <t xml:space="preserve">Travel cost for regional expert to attend 2 regional workshops (years 1 &amp; 3) and 4 national workshops (years 1 &amp; 2). </t>
  </si>
  <si>
    <t>2 country representatives for 15 ECOWAS countries</t>
  </si>
  <si>
    <t>National consultant for data gathering of socio-economic data from 250 villages to feed into detailed impact assessments.  This will require spending 3 months per district.</t>
  </si>
  <si>
    <t>Printing mid-term and final evaluation reports</t>
  </si>
  <si>
    <t>2 reports @ $20,000</t>
  </si>
  <si>
    <t>1 regional expert to support preperation of template and guide 11 initial district studies @ $8,000 for 6 months</t>
  </si>
  <si>
    <t>Regional expert to support updating of MFP diagnostics and monitoring tools.</t>
  </si>
  <si>
    <t>1 regional experts @ $8,000 for 4 months per year</t>
  </si>
  <si>
    <t>1 regional experts support for template and coordination and continuous advice @ $8,000 for 1 month per year</t>
  </si>
  <si>
    <t>A regional expert will faciliatate the process, from national workshops to round table. 2 months per country.</t>
  </si>
  <si>
    <t>1 regional expert for 3 months per year @ $8,000 per month</t>
  </si>
  <si>
    <t>Note on indirect cost rate:</t>
  </si>
  <si>
    <t>UNDP indirect costs of 7 per cent is taken from project grand total and covers services by UNDP which are not directly attributable to project inputs or activities and encompass items such as general oversight and management functions of UNDP.</t>
  </si>
  <si>
    <t>Expand technology options for the MFP which could increase and diversify income-generating opportunities along the agricultural value chain</t>
  </si>
  <si>
    <t>Additional interpretation/logistics/reporting for regional workshops @ 15,000</t>
  </si>
  <si>
    <t>Additional interpretation/logistics/reporting for international conference @ 20,000</t>
  </si>
  <si>
    <t>supply for international conference @10,000</t>
  </si>
  <si>
    <t>Regional workshop on ECOWAS</t>
  </si>
  <si>
    <t>supply for regional workshops  @10,000</t>
  </si>
  <si>
    <t>Regional expert to prepare terms of reference, identify thematic experts and guide the detailed thematic assessments of 250 MFPs. He/she will also work to incorporate results of assessments into project implementation on an ongoing basis.  He/she will also feed findings of assessments in annual reporting.</t>
  </si>
  <si>
    <t>Consultant will visit each local admin unit once a year</t>
  </si>
  <si>
    <t>Consultant will provide support to each local unit in monitoring financial sustainability of agro-enterprises, including the effectiveness of using new technologies to diversify business opportunities.</t>
  </si>
  <si>
    <t>International expert consultant needed to guide detailed socio-economic and agro-economic impact assessment for 250 villages</t>
  </si>
  <si>
    <t>Including cost of editing, printing and translation</t>
  </si>
  <si>
    <t>Regional expert to elaborate and implement strategy and guide elaboration of ECOWAS focused strategy</t>
  </si>
  <si>
    <t>Regional expert to elaborate and implement strategy and guide elaboration of all Africa strategies</t>
  </si>
  <si>
    <t>One mission in each country ecah year</t>
  </si>
  <si>
    <t>All Africa workshop: 2 to 3 people for 20 countries</t>
  </si>
  <si>
    <t>International consultants to work on ECOWAS and All Africa strategy for 4 month each</t>
  </si>
  <si>
    <t>1 regional expert to travel to each country for monitoring of evaluation system and continious training. Travel cost @ $2,500 per mission.</t>
  </si>
  <si>
    <t>Travel for regional staff to each country to support development of community level exit strategies. 1 mission per year per country @$2,500 per mission.</t>
  </si>
  <si>
    <t>1 regional workshop to review experiences with biofuels</t>
  </si>
  <si>
    <t>Voucher system or Installation of additional module/service to address specific opportunity identified during feasibility study</t>
  </si>
  <si>
    <t>Need for voucher system or additional module to be identified during feasibility (e.g. lighting to dispensaries, water pump, etc)</t>
  </si>
  <si>
    <t>regional expert @$8000/month working for 1.5 months per country.</t>
  </si>
  <si>
    <t>$2,500 per mission x 2 = $5,000 per workshop</t>
  </si>
  <si>
    <t>$2500 per mission for a total of 6 missions (3 in year 1;  2 in year 2; and 1 in year 3)</t>
  </si>
  <si>
    <t>Annual regional workshop to support lead partners that will serve as core of knowledge network</t>
  </si>
  <si>
    <t>In order to periodically update operational guides, consultants will support local units in drawing lessons and codifying practices to be presented in guides in all MFP related thematic areas.</t>
  </si>
  <si>
    <t>Editing of national contributions, translation of web pages, etc.</t>
  </si>
  <si>
    <t>To monitor/codify best practices upon which models will be elaborated</t>
  </si>
  <si>
    <t>Regional experts responsible for devising models covering whole of MFP approach</t>
  </si>
  <si>
    <t>Writing, printing and editing with translation.</t>
  </si>
  <si>
    <t>Consultant to take stock of results from piloting biofuels</t>
  </si>
  <si>
    <t>Regional expert to elaborate and implement communications strategy</t>
  </si>
  <si>
    <t>Printing and editing of brochures (2 per country) + 250 posters (~ 5 per local administrative office)</t>
  </si>
  <si>
    <t>Printing and editing 2 newsletters per each country + 2 regional newsletters in year 1, 3 and 5</t>
  </si>
  <si>
    <t>Production/updating of national and regional communications strategy documents @ $10,000</t>
  </si>
  <si>
    <t>Regional expert to support capacity development of lead partners to serve as core of knowledge network, and to guide/supervise the updating of networking tools to ensure consistency.</t>
  </si>
  <si>
    <t>Consultant will visit each local admin unit once per year</t>
  </si>
  <si>
    <t>Regional expert to monitor new prototype developments and and supervise production of user guides.</t>
  </si>
  <si>
    <t>Update the business model diagnostic tool and improve for monitoring base line integration @ $20,000</t>
  </si>
  <si>
    <t>Regional experts to provide substantive guidance to review team in assessing past decade of lessons learned, and to facilitate mid-term and final project project evaluation.</t>
  </si>
  <si>
    <t>Writing, editing, printing of national and regional reports, including translation.</t>
  </si>
  <si>
    <t>regional expert @ $8,000 for 5 months per year</t>
  </si>
  <si>
    <t>1 international consultant for 1 month per country to review national planning and budgetary frameworks to indentify opportunities for up-scalling</t>
  </si>
  <si>
    <t>1 flash CD ROM produced in year 1 and 3</t>
  </si>
  <si>
    <t>Contractor/partner organization to serve as lead knowledge-network partner and collect information needed for updating exisiting knowledge platform and networking tools. Contractor rate of $6,000 per year per country.</t>
  </si>
  <si>
    <t>Cost of producing regional reports with translation included</t>
  </si>
  <si>
    <t>Cost of renting meeting facilities and other supply costs for workshops</t>
  </si>
  <si>
    <t>Travel for regional staff to attend workshops for national program teams on project management, etc. Cost @ $2,500 for 7-day mission</t>
  </si>
  <si>
    <t>Travel for participants to attend 2 regional workshops on appluing micro-credit solutions to agro-enterprises</t>
  </si>
  <si>
    <t>2 regional workshops on applying micro-credit to agro-enterprises</t>
  </si>
  <si>
    <t>Regional expert to support national partners in developing partnerships with micro-credit institutions.  Spending 1 month per year on this activitiy.</t>
  </si>
  <si>
    <t>1 international consultant for engineering and monitoring the innovation financing system; 1 month per year</t>
  </si>
  <si>
    <t>Writing, editing and printing costs to produce documents to articulate the MFP-based program into national poverty reduction strategies.</t>
  </si>
  <si>
    <t>Travel for government partners to attend national policy dialogue workshops on developing/implementing MFP program nationally.</t>
  </si>
  <si>
    <t>Policy dialogue workshops for government partners on collaboration and implementation of national MFP programs.</t>
  </si>
  <si>
    <t>National workshop to review national planning and budgetary frameworks and identify opportunities for up-scalling</t>
  </si>
  <si>
    <t>1 regional expert will provide substantive guidance to elaborate and monitor production of kits and guides in all MFP related thematic areas</t>
  </si>
  <si>
    <t>1 national consultant per country to implement national communications strategy and produce commnuication toolkits.</t>
  </si>
  <si>
    <t>printing and editing 3 national and 1 regional communication strategy documents (50 pages x 100 copies)</t>
  </si>
  <si>
    <t>1 missions to all 3 countries each year for 1 regional expert @ $2,500 for 7 day mission</t>
  </si>
  <si>
    <t>1 contractor @ $6,000 x 3 countries = $18,000</t>
  </si>
  <si>
    <t>Develop 6 user guides for new developped prototypes x 100 copies, incl editing, printing and translation</t>
  </si>
  <si>
    <t>production of user guide @ $10,000 x 6 guides</t>
  </si>
  <si>
    <t>in country travel cost for national consultant @ $1,500 *4 * 3 countries</t>
  </si>
  <si>
    <t>Travel cost for regional expert = $2,500 per mission x 3 countries</t>
  </si>
  <si>
    <t>1 mission to all 3 countries each year for regional expert to support review/take stock exercise</t>
  </si>
  <si>
    <t>1 national consultant/country @ $3,000 x 4 months x 3 countries = $48,000</t>
  </si>
  <si>
    <t>2 internationnal consultants for 2 months each @ $15,000 x 3 countries</t>
  </si>
  <si>
    <t>3 national and 1 regional reports @ $10,000  per report</t>
  </si>
  <si>
    <t>3 national reports @ $25,000</t>
  </si>
  <si>
    <t>Travel to 1 national roundtable meeting per country.  Average $37500 x 3 = $112,500</t>
  </si>
  <si>
    <t>Travel costs for Mission to AfDB for 5 people @ cost of $4000 each = $20,000 x 3 countries = $60,000</t>
  </si>
  <si>
    <t>Travel to 3 national workshops, average $1500 x 3 countries = 150,000 less 50%</t>
  </si>
  <si>
    <t>1 national consultant/country @ $3,000 x 4 months x 3 countries</t>
  </si>
  <si>
    <t>2 international consultants x $15,000/mo x 3 countries = $90,000</t>
  </si>
  <si>
    <t>Supplies for 3 national workshops @ $5000 each</t>
  </si>
  <si>
    <t>regional expert @$8000/month working for 2,5 months per country (in year 2 and 4).</t>
  </si>
  <si>
    <t>regional expert for @ $8,000 for 3 months per year</t>
  </si>
  <si>
    <t>2 regional reports @ $37,5000</t>
  </si>
  <si>
    <t>2 mission x $2,500 x "</t>
  </si>
  <si>
    <t>2 missions per country per year for regional staff to monitor, evaluate, and provide guidance to local partners to ensure the delivery of quality services to rural communities. Travel costs @ $2,500 per mission.</t>
  </si>
  <si>
    <t xml:space="preserve">2 missions x $2,500 x 3 </t>
  </si>
  <si>
    <t>4 regional workshops for average 16 participants (4 per country). Workshop in year 1 to serve as training workshop</t>
  </si>
  <si>
    <t>Reporting and translation for regional workshops @ $10,000</t>
  </si>
  <si>
    <t>80 meetings x $600=$48,000 per year</t>
  </si>
  <si>
    <t>Organisation of inter-MFP meetings and experience sharing for management commities and artisans.  1 meeting per 80 MFP per year for 3 years @ $600</t>
  </si>
  <si>
    <t>16 missions (4 per country) for regional expert @ $2,500 per mission.  1 country in first year, 2 countries in second year.</t>
  </si>
  <si>
    <t>Travel for 10 national workshop participants.  4 workshops per country over 3 years = 12 total workshops</t>
  </si>
  <si>
    <t>10 participants x $1,500 = $15,000 per workshop. 12 workshops total over 3 years.</t>
  </si>
  <si>
    <t>Travel for 10 participants to attend 6 national workshops. Travel cost estimated @ $1,500 per participant</t>
  </si>
  <si>
    <t>12 national thematic training sessions  (4 for each country) @$5,000 per session</t>
  </si>
  <si>
    <t>3 national workshops to help identify and collaborate with micro-credit institutions</t>
  </si>
  <si>
    <t>10 participants x 3 countries x $1500 per participant</t>
  </si>
  <si>
    <t>23 participants X $2,500 per participant = $57, 500</t>
  </si>
  <si>
    <t>travel for participants of 3 national workshops at $1,500 per participant x 10 participants = $15,000 per workshop</t>
  </si>
  <si>
    <t>5 missions for regional staff @$2,500 each</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</si>
</sst>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_);[Red]\(#,##0.000\)"/>
    <numFmt numFmtId="181" formatCode="#,##0.0_);[Red]\(#,##0.0\)"/>
    <numFmt numFmtId="182" formatCode="&quot;$&quot;#,##0.0_);[Red]\(&quot;$&quot;#,##0.0\)"/>
    <numFmt numFmtId="183" formatCode="#,##0.0"/>
    <numFmt numFmtId="184" formatCode="[$-409]dddd\,\ mmmm\ dd\,\ yyyy"/>
    <numFmt numFmtId="185" formatCode="[$-409]mmmm\ d\,\ yyyy;@"/>
    <numFmt numFmtId="186" formatCode="_(* #,##0.0_);_(* \(#,##0.0\);_(* &quot;-&quot;??_);_(@_)"/>
    <numFmt numFmtId="187" formatCode="_(* #,##0_);_(* \(#,##0\);_(* &quot;-&quot;??_);_(@_)"/>
    <numFmt numFmtId="188" formatCode="_(&quot;$&quot;* #,##0.0_);_(&quot;$&quot;* \(#,##0.0\);_(&quot;$&quot;* &quot;-&quot;??_);_(@_)"/>
    <numFmt numFmtId="189" formatCode="_(&quot;$&quot;* #,##0_);_(&quot;$&quot;* \(#,##0\);_(&quot;$&quot;* &quot;-&quot;??_);_(@_)"/>
    <numFmt numFmtId="190" formatCode="0.00;;"/>
    <numFmt numFmtId="191" formatCode="&quot;$&quot;#,##0_);[Red]\(&quot;$&quot;#,##0\);"/>
    <numFmt numFmtId="192" formatCode="&quot;Year &quot;0"/>
    <numFmt numFmtId="193" formatCode="_(* #,##0.0_);_(* \(#,##0.0\);_(* &quot;-&quot;_);_(@_)"/>
    <numFmt numFmtId="194" formatCode="_(* #,##0.00_);_(* \(#,##0.00\);_(* &quot;-&quot;_);_(@_)"/>
    <numFmt numFmtId="195" formatCode="0.0"/>
    <numFmt numFmtId="196" formatCode="0.00;\(0.00\);&quot;-&quot;"/>
    <numFmt numFmtId="197" formatCode="0.00;\(0.00\);"/>
    <numFmt numFmtId="198" formatCode="0%;\(0%\);"/>
    <numFmt numFmtId="199" formatCode="&quot;Same as &quot;"/>
    <numFmt numFmtId="200" formatCode="&quot;Same as &quot;\ \&amp;\ 0"/>
    <numFmt numFmtId="201" formatCode="0.0%"/>
    <numFmt numFmtId="202" formatCode="_(* #,##0.0_);_(* \(#,##0.0\);_(* &quot;-&quot;?_);_(@_)"/>
    <numFmt numFmtId="203" formatCode="0.0%\,&quot;-&quot;"/>
    <numFmt numFmtId="204" formatCode="0.0%;;&quot;-&quot;"/>
    <numFmt numFmtId="205" formatCode="[$-409]h:mm:ss\ AM/PM"/>
    <numFmt numFmtId="206" formatCode="m/d/yy;@"/>
    <numFmt numFmtId="207" formatCode="&quot;$&quot;#,##0"/>
    <numFmt numFmtId="208" formatCode="mm/yyyy"/>
    <numFmt numFmtId="209" formatCode="mm/dd/yyyy"/>
    <numFmt numFmtId="210" formatCode="0;\-0;"/>
    <numFmt numFmtId="211" formatCode="General;;"/>
    <numFmt numFmtId="212" formatCode="_(&quot;$&quot;* #,##0.0_);_(&quot;$&quot;* \(#,##0.0\);_(&quot;$&quot;* &quot;-&quot;?_);_(@_)"/>
    <numFmt numFmtId="213" formatCode="&quot;Yes&quot;;&quot;Yes&quot;;&quot;No&quot;"/>
    <numFmt numFmtId="214" formatCode="&quot;True&quot;;&quot;True&quot;;&quot;False&quot;"/>
    <numFmt numFmtId="215" formatCode="&quot;On&quot;;&quot;On&quot;;&quot;Off&quot;"/>
    <numFmt numFmtId="216" formatCode="[$€-2]\ #,##0.00_);[Red]\([$€-2]\ #,##0.00\)"/>
    <numFmt numFmtId="217" formatCode="_(* #,##0.000_);_(* \(#,##0.000\);_(* &quot;-&quot;??_);_(@_)"/>
    <numFmt numFmtId="218" formatCode="_(* #,##0.0000_);_(* \(#,##0.0000\);_(* &quot;-&quot;??_);_(@_)"/>
    <numFmt numFmtId="219" formatCode="0.000"/>
  </numFmts>
  <fonts count="65">
    <font>
      <sz val="10"/>
      <name val="Arial"/>
      <family val="0"/>
    </font>
    <font>
      <sz val="11"/>
      <name val="Arial"/>
      <family val="2"/>
    </font>
    <font>
      <sz val="14"/>
      <color indexed="60"/>
      <name val="Arial"/>
      <family val="0"/>
    </font>
    <font>
      <b/>
      <sz val="8"/>
      <name val="Arial"/>
      <family val="2"/>
    </font>
    <font>
      <i/>
      <sz val="11"/>
      <name val="Times New Roman"/>
      <family val="1"/>
    </font>
    <font>
      <sz val="11"/>
      <name val="Times New Roman"/>
      <family val="1"/>
    </font>
    <font>
      <sz val="8"/>
      <name val="Arial"/>
      <family val="0"/>
    </font>
    <font>
      <i/>
      <sz val="8"/>
      <name val="Arial"/>
      <family val="2"/>
    </font>
    <font>
      <vertAlign val="superscript"/>
      <sz val="8"/>
      <name val="Arial"/>
      <family val="2"/>
    </font>
    <font>
      <b/>
      <sz val="10"/>
      <color indexed="60"/>
      <name val="Arial"/>
      <family val="2"/>
    </font>
    <font>
      <b/>
      <sz val="7"/>
      <name val="Arial"/>
      <family val="2"/>
    </font>
    <font>
      <sz val="7"/>
      <name val="Arial"/>
      <family val="2"/>
    </font>
    <font>
      <u val="single"/>
      <sz val="10"/>
      <color indexed="12"/>
      <name val="Arial"/>
      <family val="0"/>
    </font>
    <font>
      <u val="single"/>
      <sz val="10"/>
      <color indexed="36"/>
      <name val="Arial"/>
      <family val="0"/>
    </font>
    <font>
      <b/>
      <vertAlign val="superscript"/>
      <sz val="8"/>
      <name val="Arial"/>
      <family val="2"/>
    </font>
    <font>
      <b/>
      <sz val="14"/>
      <name val="Arial"/>
      <family val="2"/>
    </font>
    <font>
      <b/>
      <sz val="10"/>
      <color indexed="52"/>
      <name val="Arial"/>
      <family val="2"/>
    </font>
    <font>
      <b/>
      <sz val="16"/>
      <color indexed="52"/>
      <name val="Arial"/>
      <family val="2"/>
    </font>
    <font>
      <b/>
      <sz val="11"/>
      <name val="Arial"/>
      <family val="2"/>
    </font>
    <font>
      <sz val="10"/>
      <color indexed="9"/>
      <name val="Arial"/>
      <family val="2"/>
    </font>
    <font>
      <b/>
      <sz val="10"/>
      <name val="Arial"/>
      <family val="2"/>
    </font>
    <font>
      <sz val="8"/>
      <color indexed="62"/>
      <name val="Arial"/>
      <family val="2"/>
    </font>
    <font>
      <b/>
      <vertAlign val="superscript"/>
      <sz val="8"/>
      <color indexed="60"/>
      <name val="Arial"/>
      <family val="2"/>
    </font>
    <font>
      <sz val="9"/>
      <name val="Arial"/>
      <family val="0"/>
    </font>
    <font>
      <b/>
      <sz val="9"/>
      <name val="Arial"/>
      <family val="2"/>
    </font>
    <font>
      <i/>
      <sz val="10"/>
      <name val="Times New Roman"/>
      <family val="1"/>
    </font>
    <font>
      <i/>
      <sz val="10"/>
      <name val="Arial"/>
      <family val="2"/>
    </font>
    <font>
      <i/>
      <sz val="9"/>
      <name val="Arial"/>
      <family val="2"/>
    </font>
    <font>
      <sz val="14"/>
      <name val="Arial"/>
      <family val="2"/>
    </font>
    <font>
      <b/>
      <sz val="12"/>
      <name val="Arial"/>
      <family val="2"/>
    </font>
    <font>
      <sz val="10"/>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396">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2" fillId="33" borderId="0" xfId="0" applyFont="1" applyFill="1" applyBorder="1" applyAlignment="1">
      <alignment/>
    </xf>
    <xf numFmtId="0" fontId="1" fillId="33" borderId="0" xfId="0" applyFont="1" applyFill="1" applyAlignment="1" applyProtection="1">
      <alignment/>
      <protection locked="0"/>
    </xf>
    <xf numFmtId="0" fontId="1" fillId="33" borderId="0" xfId="0" applyFont="1" applyFill="1" applyAlignment="1" applyProtection="1">
      <alignment wrapText="1"/>
      <protection locked="0"/>
    </xf>
    <xf numFmtId="0" fontId="2" fillId="0" borderId="0" xfId="0" applyFont="1" applyFill="1" applyBorder="1" applyAlignment="1">
      <alignment/>
    </xf>
    <xf numFmtId="0" fontId="6" fillId="0" borderId="0" xfId="0" applyFont="1" applyAlignment="1" applyProtection="1">
      <alignment/>
      <protection locked="0"/>
    </xf>
    <xf numFmtId="0" fontId="6" fillId="0" borderId="0" xfId="0" applyFont="1" applyBorder="1" applyAlignment="1" applyProtection="1">
      <alignment wrapText="1"/>
      <protection locked="0"/>
    </xf>
    <xf numFmtId="40" fontId="3" fillId="0" borderId="11" xfId="0" applyNumberFormat="1" applyFont="1" applyBorder="1" applyAlignment="1" applyProtection="1">
      <alignment wrapText="1"/>
      <protection locked="0"/>
    </xf>
    <xf numFmtId="0" fontId="6" fillId="0" borderId="0" xfId="0" applyFont="1" applyAlignment="1" applyProtection="1">
      <alignment wrapText="1"/>
      <protection locked="0"/>
    </xf>
    <xf numFmtId="0" fontId="8" fillId="0" borderId="0" xfId="0" applyFont="1" applyFill="1" applyBorder="1" applyAlignment="1" applyProtection="1">
      <alignment horizontal="left" indent="1"/>
      <protection locked="0"/>
    </xf>
    <xf numFmtId="0" fontId="9" fillId="0" borderId="0" xfId="0" applyFont="1" applyBorder="1" applyAlignment="1" applyProtection="1">
      <alignment wrapText="1"/>
      <protection locked="0"/>
    </xf>
    <xf numFmtId="40" fontId="3" fillId="0" borderId="0" xfId="0" applyNumberFormat="1" applyFont="1" applyBorder="1" applyAlignment="1" applyProtection="1">
      <alignment wrapText="1"/>
      <protection locked="0"/>
    </xf>
    <xf numFmtId="0" fontId="7" fillId="0" borderId="0" xfId="0" applyFont="1" applyBorder="1" applyAlignment="1" applyProtection="1">
      <alignment wrapText="1"/>
      <protection locked="0"/>
    </xf>
    <xf numFmtId="40" fontId="6" fillId="0" borderId="0" xfId="0" applyNumberFormat="1" applyFont="1" applyBorder="1" applyAlignment="1" applyProtection="1">
      <alignment wrapText="1"/>
      <protection locked="0"/>
    </xf>
    <xf numFmtId="0" fontId="6" fillId="0" borderId="0" xfId="0" applyFont="1" applyFill="1" applyBorder="1" applyAlignment="1" applyProtection="1">
      <alignment wrapText="1"/>
      <protection locked="0"/>
    </xf>
    <xf numFmtId="175" fontId="6" fillId="0" borderId="0" xfId="0" applyNumberFormat="1" applyFont="1" applyFill="1" applyBorder="1" applyAlignment="1" applyProtection="1">
      <alignment wrapText="1"/>
      <protection locked="0"/>
    </xf>
    <xf numFmtId="0" fontId="1" fillId="0" borderId="12" xfId="0" applyFont="1" applyBorder="1" applyAlignment="1" applyProtection="1">
      <alignment/>
      <protection locked="0"/>
    </xf>
    <xf numFmtId="0" fontId="1" fillId="0" borderId="12" xfId="0" applyFont="1" applyBorder="1" applyAlignment="1" applyProtection="1">
      <alignment wrapText="1"/>
      <protection locked="0"/>
    </xf>
    <xf numFmtId="0" fontId="6" fillId="0" borderId="11" xfId="0" applyFont="1" applyBorder="1" applyAlignment="1" applyProtection="1">
      <alignment wrapText="1"/>
      <protection locked="0"/>
    </xf>
    <xf numFmtId="40" fontId="6" fillId="0" borderId="11" xfId="0" applyNumberFormat="1" applyFont="1" applyBorder="1" applyAlignment="1" applyProtection="1">
      <alignment wrapText="1"/>
      <protection locked="0"/>
    </xf>
    <xf numFmtId="0" fontId="7" fillId="0" borderId="11" xfId="0" applyFont="1" applyBorder="1" applyAlignment="1" applyProtection="1">
      <alignment wrapText="1"/>
      <protection locked="0"/>
    </xf>
    <xf numFmtId="0" fontId="6" fillId="0" borderId="11" xfId="0" applyFont="1" applyBorder="1" applyAlignment="1" applyProtection="1">
      <alignment/>
      <protection locked="0"/>
    </xf>
    <xf numFmtId="40" fontId="6" fillId="0" borderId="11" xfId="0" applyNumberFormat="1" applyFont="1" applyBorder="1" applyAlignment="1" applyProtection="1">
      <alignment/>
      <protection locked="0"/>
    </xf>
    <xf numFmtId="0" fontId="3" fillId="0" borderId="0" xfId="0"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center" wrapText="1"/>
      <protection locked="0"/>
    </xf>
    <xf numFmtId="0" fontId="6" fillId="0" borderId="0" xfId="0" applyFont="1" applyBorder="1" applyAlignment="1" applyProtection="1">
      <alignment/>
      <protection locked="0"/>
    </xf>
    <xf numFmtId="0" fontId="1" fillId="0" borderId="0" xfId="0" applyFont="1" applyBorder="1" applyAlignment="1" applyProtection="1">
      <alignment/>
      <protection locked="0"/>
    </xf>
    <xf numFmtId="0" fontId="6" fillId="0" borderId="11" xfId="0" applyFont="1" applyFill="1" applyBorder="1" applyAlignment="1" applyProtection="1">
      <alignment wrapText="1"/>
      <protection locked="0"/>
    </xf>
    <xf numFmtId="0" fontId="1" fillId="0" borderId="11" xfId="0" applyFont="1" applyBorder="1" applyAlignment="1" applyProtection="1">
      <alignment/>
      <protection locked="0"/>
    </xf>
    <xf numFmtId="0" fontId="4" fillId="0" borderId="12" xfId="0" applyFont="1" applyBorder="1" applyAlignment="1" applyProtection="1">
      <alignment/>
      <protection locked="0"/>
    </xf>
    <xf numFmtId="0" fontId="6" fillId="0" borderId="12" xfId="0" applyFont="1" applyBorder="1" applyAlignment="1" applyProtection="1">
      <alignment/>
      <protection locked="0"/>
    </xf>
    <xf numFmtId="0" fontId="6" fillId="0" borderId="12" xfId="0" applyFont="1" applyBorder="1" applyAlignment="1" applyProtection="1">
      <alignment wrapText="1"/>
      <protection locked="0"/>
    </xf>
    <xf numFmtId="0" fontId="9" fillId="0" borderId="0" xfId="0" applyFont="1" applyFill="1" applyBorder="1" applyAlignment="1" applyProtection="1">
      <alignment horizontal="right" wrapText="1"/>
      <protection locked="0"/>
    </xf>
    <xf numFmtId="40" fontId="6" fillId="0" borderId="0" xfId="0" applyNumberFormat="1" applyFont="1" applyAlignment="1" applyProtection="1">
      <alignment wrapText="1"/>
      <protection locked="0"/>
    </xf>
    <xf numFmtId="0" fontId="9" fillId="0" borderId="0" xfId="0" applyFont="1" applyFill="1" applyBorder="1" applyAlignment="1" applyProtection="1">
      <alignment wrapText="1"/>
      <protection locked="0"/>
    </xf>
    <xf numFmtId="40" fontId="3" fillId="0" borderId="0" xfId="0" applyNumberFormat="1" applyFont="1" applyFill="1" applyBorder="1" applyAlignment="1" applyProtection="1">
      <alignment wrapText="1"/>
      <protection locked="0"/>
    </xf>
    <xf numFmtId="40" fontId="6" fillId="0" borderId="0" xfId="0" applyNumberFormat="1" applyFont="1" applyFill="1" applyBorder="1" applyAlignment="1" applyProtection="1">
      <alignment wrapText="1"/>
      <protection locked="0"/>
    </xf>
    <xf numFmtId="40" fontId="6" fillId="0" borderId="11" xfId="0" applyNumberFormat="1" applyFont="1" applyFill="1" applyBorder="1" applyAlignment="1" applyProtection="1">
      <alignment wrapText="1"/>
      <protection locked="0"/>
    </xf>
    <xf numFmtId="0" fontId="9" fillId="0" borderId="0" xfId="0" applyFont="1" applyFill="1" applyBorder="1" applyAlignment="1" applyProtection="1">
      <alignment horizontal="right"/>
      <protection locked="0"/>
    </xf>
    <xf numFmtId="0" fontId="3" fillId="34" borderId="0" xfId="0" applyFont="1" applyFill="1" applyBorder="1" applyAlignment="1" applyProtection="1">
      <alignment horizontal="right" wrapText="1"/>
      <protection locked="0"/>
    </xf>
    <xf numFmtId="0" fontId="3" fillId="0" borderId="0" xfId="0" applyFont="1" applyAlignment="1" applyProtection="1">
      <alignment horizontal="right"/>
      <protection locked="0"/>
    </xf>
    <xf numFmtId="0" fontId="3" fillId="0" borderId="12"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10" fillId="0" borderId="0" xfId="0" applyFont="1" applyFill="1" applyBorder="1" applyAlignment="1" applyProtection="1">
      <alignment horizontal="center" wrapText="1"/>
      <protection locked="0"/>
    </xf>
    <xf numFmtId="0" fontId="3" fillId="0" borderId="13" xfId="0" applyFont="1" applyFill="1" applyBorder="1" applyAlignment="1" applyProtection="1">
      <alignment horizontal="center"/>
      <protection locked="0"/>
    </xf>
    <xf numFmtId="0" fontId="10" fillId="0" borderId="13" xfId="0" applyFont="1" applyFill="1" applyBorder="1" applyAlignment="1" applyProtection="1">
      <alignment horizontal="center" wrapText="1"/>
      <protection locked="0"/>
    </xf>
    <xf numFmtId="0" fontId="3" fillId="0" borderId="13" xfId="0" applyFont="1" applyFill="1" applyBorder="1" applyAlignment="1" applyProtection="1">
      <alignment/>
      <protection locked="0"/>
    </xf>
    <xf numFmtId="0" fontId="3" fillId="0" borderId="13" xfId="0" applyFont="1" applyBorder="1" applyAlignment="1" applyProtection="1">
      <alignment horizontal="center" wrapText="1"/>
      <protection locked="0"/>
    </xf>
    <xf numFmtId="38" fontId="3" fillId="0" borderId="0" xfId="0" applyNumberFormat="1" applyFont="1" applyFill="1" applyBorder="1" applyAlignment="1" applyProtection="1">
      <alignment wrapText="1"/>
      <protection locked="0"/>
    </xf>
    <xf numFmtId="38" fontId="6" fillId="0" borderId="0" xfId="0" applyNumberFormat="1" applyFont="1" applyBorder="1" applyAlignment="1" applyProtection="1">
      <alignment wrapText="1"/>
      <protection locked="0"/>
    </xf>
    <xf numFmtId="38" fontId="6" fillId="34" borderId="0" xfId="0" applyNumberFormat="1" applyFont="1" applyFill="1" applyBorder="1" applyAlignment="1" applyProtection="1">
      <alignment wrapText="1"/>
      <protection locked="0"/>
    </xf>
    <xf numFmtId="38" fontId="3" fillId="34" borderId="0" xfId="0" applyNumberFormat="1" applyFont="1" applyFill="1" applyBorder="1" applyAlignment="1" applyProtection="1">
      <alignment wrapText="1"/>
      <protection locked="0"/>
    </xf>
    <xf numFmtId="38" fontId="3" fillId="34" borderId="0" xfId="0" applyNumberFormat="1" applyFont="1" applyFill="1" applyBorder="1" applyAlignment="1" applyProtection="1">
      <alignment wrapText="1"/>
      <protection/>
    </xf>
    <xf numFmtId="38" fontId="6" fillId="0" borderId="0" xfId="0" applyNumberFormat="1" applyFont="1" applyBorder="1" applyAlignment="1" applyProtection="1">
      <alignment/>
      <protection locked="0"/>
    </xf>
    <xf numFmtId="38" fontId="6" fillId="0" borderId="0" xfId="0" applyNumberFormat="1" applyFont="1" applyFill="1" applyBorder="1" applyAlignment="1" applyProtection="1">
      <alignment wrapText="1"/>
      <protection locked="0"/>
    </xf>
    <xf numFmtId="173" fontId="6" fillId="0" borderId="0" xfId="0" applyNumberFormat="1" applyFont="1" applyFill="1" applyBorder="1" applyAlignment="1" applyProtection="1">
      <alignment wrapText="1"/>
      <protection locked="0"/>
    </xf>
    <xf numFmtId="173" fontId="6" fillId="0" borderId="0" xfId="0" applyNumberFormat="1" applyFont="1" applyFill="1" applyBorder="1" applyAlignment="1" applyProtection="1">
      <alignment/>
      <protection locked="0"/>
    </xf>
    <xf numFmtId="9" fontId="1" fillId="33" borderId="0" xfId="0" applyNumberFormat="1" applyFont="1" applyFill="1" applyAlignment="1" applyProtection="1">
      <alignment/>
      <protection locked="0"/>
    </xf>
    <xf numFmtId="9" fontId="6" fillId="0" borderId="0" xfId="0" applyNumberFormat="1" applyFont="1" applyAlignment="1" applyProtection="1">
      <alignment/>
      <protection locked="0"/>
    </xf>
    <xf numFmtId="9" fontId="3" fillId="0" borderId="0" xfId="0" applyNumberFormat="1" applyFont="1" applyFill="1" applyBorder="1" applyAlignment="1" applyProtection="1">
      <alignment horizontal="center" wrapText="1"/>
      <protection locked="0"/>
    </xf>
    <xf numFmtId="9" fontId="3" fillId="0" borderId="0" xfId="0" applyNumberFormat="1" applyFont="1" applyFill="1" applyBorder="1" applyAlignment="1" applyProtection="1">
      <alignment wrapText="1"/>
      <protection locked="0"/>
    </xf>
    <xf numFmtId="9" fontId="6" fillId="0" borderId="0" xfId="0" applyNumberFormat="1" applyFont="1" applyBorder="1" applyAlignment="1" applyProtection="1">
      <alignment wrapText="1"/>
      <protection locked="0"/>
    </xf>
    <xf numFmtId="9" fontId="6" fillId="0" borderId="11" xfId="0" applyNumberFormat="1" applyFont="1" applyBorder="1" applyAlignment="1" applyProtection="1">
      <alignment wrapText="1"/>
      <protection locked="0"/>
    </xf>
    <xf numFmtId="9" fontId="3" fillId="0" borderId="11" xfId="0" applyNumberFormat="1" applyFont="1" applyBorder="1" applyAlignment="1" applyProtection="1">
      <alignment wrapText="1"/>
      <protection locked="0"/>
    </xf>
    <xf numFmtId="9" fontId="3" fillId="0" borderId="0" xfId="0" applyNumberFormat="1" applyFont="1" applyBorder="1" applyAlignment="1" applyProtection="1">
      <alignment wrapText="1"/>
      <protection locked="0"/>
    </xf>
    <xf numFmtId="9" fontId="6" fillId="34" borderId="0" xfId="0" applyNumberFormat="1" applyFont="1" applyFill="1" applyBorder="1" applyAlignment="1" applyProtection="1">
      <alignment wrapText="1"/>
      <protection locked="0"/>
    </xf>
    <xf numFmtId="9" fontId="3" fillId="34" borderId="0" xfId="0" applyNumberFormat="1" applyFont="1" applyFill="1" applyBorder="1" applyAlignment="1" applyProtection="1">
      <alignment wrapText="1"/>
      <protection/>
    </xf>
    <xf numFmtId="9" fontId="6" fillId="0" borderId="0" xfId="0" applyNumberFormat="1" applyFont="1" applyBorder="1" applyAlignment="1" applyProtection="1">
      <alignment/>
      <protection locked="0"/>
    </xf>
    <xf numFmtId="9" fontId="6" fillId="0" borderId="0" xfId="0" applyNumberFormat="1" applyFont="1" applyAlignment="1" applyProtection="1">
      <alignment wrapText="1"/>
      <protection locked="0"/>
    </xf>
    <xf numFmtId="9" fontId="1" fillId="0" borderId="0" xfId="0" applyNumberFormat="1" applyFont="1" applyAlignment="1" applyProtection="1">
      <alignment/>
      <protection locked="0"/>
    </xf>
    <xf numFmtId="0" fontId="3" fillId="0" borderId="0" xfId="0" applyFont="1" applyAlignment="1" applyProtection="1">
      <alignment/>
      <protection locked="0"/>
    </xf>
    <xf numFmtId="0" fontId="5" fillId="0" borderId="0" xfId="0" applyFont="1" applyAlignment="1" applyProtection="1">
      <alignment/>
      <protection locked="0"/>
    </xf>
    <xf numFmtId="173" fontId="3" fillId="0" borderId="0" xfId="0" applyNumberFormat="1" applyFont="1" applyFill="1" applyBorder="1" applyAlignment="1" applyProtection="1">
      <alignment wrapText="1"/>
      <protection locked="0"/>
    </xf>
    <xf numFmtId="0" fontId="6" fillId="0" borderId="0" xfId="0" applyFont="1" applyAlignment="1" applyProtection="1">
      <alignment/>
      <protection/>
    </xf>
    <xf numFmtId="0" fontId="5" fillId="0" borderId="0" xfId="0" applyFont="1" applyAlignment="1" applyProtection="1">
      <alignment/>
      <protection/>
    </xf>
    <xf numFmtId="49" fontId="6" fillId="0" borderId="0" xfId="0" applyNumberFormat="1" applyFont="1" applyAlignment="1" applyProtection="1">
      <alignment/>
      <protection locked="0"/>
    </xf>
    <xf numFmtId="9" fontId="3" fillId="34" borderId="0" xfId="0" applyNumberFormat="1" applyFont="1" applyFill="1" applyBorder="1" applyAlignment="1" applyProtection="1">
      <alignment horizontal="center"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wrapText="1"/>
      <protection locked="0"/>
    </xf>
    <xf numFmtId="0" fontId="1" fillId="0" borderId="0" xfId="0" applyFont="1" applyFill="1" applyAlignment="1" applyProtection="1">
      <alignment/>
      <protection locked="0"/>
    </xf>
    <xf numFmtId="0" fontId="6"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Fill="1" applyBorder="1" applyAlignment="1">
      <alignment horizontal="center"/>
    </xf>
    <xf numFmtId="0" fontId="0" fillId="0" borderId="0" xfId="0" applyBorder="1" applyAlignment="1">
      <alignment/>
    </xf>
    <xf numFmtId="0" fontId="1" fillId="0" borderId="0" xfId="0" applyFont="1" applyAlignment="1">
      <alignment/>
    </xf>
    <xf numFmtId="0" fontId="1" fillId="35"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alignment vertical="top" wrapText="1"/>
    </xf>
    <xf numFmtId="0" fontId="1" fillId="0" borderId="0" xfId="0" applyFont="1" applyAlignment="1">
      <alignment vertical="top" wrapText="1"/>
    </xf>
    <xf numFmtId="0" fontId="0" fillId="0" borderId="0" xfId="0" applyBorder="1" applyAlignment="1">
      <alignment horizontal="center"/>
    </xf>
    <xf numFmtId="0" fontId="1" fillId="0" borderId="0" xfId="0" applyFont="1" applyAlignment="1">
      <alignment horizontal="left" vertical="top" wrapText="1"/>
    </xf>
    <xf numFmtId="0" fontId="18" fillId="0" borderId="0" xfId="0" applyFont="1" applyAlignment="1">
      <alignment/>
    </xf>
    <xf numFmtId="0" fontId="0" fillId="0" borderId="0" xfId="0" applyFill="1" applyAlignment="1">
      <alignment/>
    </xf>
    <xf numFmtId="0" fontId="0" fillId="0" borderId="0" xfId="0" applyAlignment="1">
      <alignment horizontal="center"/>
    </xf>
    <xf numFmtId="0" fontId="1" fillId="0" borderId="0" xfId="0" applyFont="1" applyFill="1" applyAlignment="1">
      <alignment/>
    </xf>
    <xf numFmtId="0" fontId="0" fillId="0" borderId="0" xfId="0" applyFont="1" applyFill="1" applyAlignment="1">
      <alignment vertical="top" wrapText="1"/>
    </xf>
    <xf numFmtId="0" fontId="18" fillId="0" borderId="0" xfId="0" applyFont="1" applyBorder="1" applyAlignment="1">
      <alignment horizontal="left" vertical="top" wrapText="1"/>
    </xf>
    <xf numFmtId="0" fontId="1" fillId="0" borderId="0" xfId="0" applyFont="1" applyBorder="1" applyAlignment="1">
      <alignment horizontal="left" vertical="top" wrapText="1"/>
    </xf>
    <xf numFmtId="177" fontId="15" fillId="0" borderId="0" xfId="0" applyNumberFormat="1" applyFont="1" applyAlignment="1">
      <alignment/>
    </xf>
    <xf numFmtId="0" fontId="0" fillId="0" borderId="0" xfId="0" applyAlignment="1">
      <alignment horizontal="right"/>
    </xf>
    <xf numFmtId="185" fontId="0" fillId="0" borderId="0" xfId="0" applyNumberFormat="1" applyAlignment="1">
      <alignment horizontal="center"/>
    </xf>
    <xf numFmtId="0" fontId="0" fillId="0" borderId="0" xfId="0" applyFont="1" applyFill="1" applyBorder="1" applyAlignment="1">
      <alignment/>
    </xf>
    <xf numFmtId="0" fontId="19" fillId="0" borderId="0" xfId="0" applyFont="1" applyFill="1" applyBorder="1" applyAlignment="1">
      <alignment/>
    </xf>
    <xf numFmtId="0" fontId="19" fillId="0" borderId="0" xfId="0" applyFont="1" applyAlignment="1">
      <alignment/>
    </xf>
    <xf numFmtId="0" fontId="1" fillId="0" borderId="0" xfId="0" applyFont="1" applyBorder="1" applyAlignment="1">
      <alignment horizontal="left"/>
    </xf>
    <xf numFmtId="0" fontId="1" fillId="0" borderId="0" xfId="0" applyFont="1" applyBorder="1" applyAlignment="1">
      <alignment horizontal="centerContinuous"/>
    </xf>
    <xf numFmtId="0" fontId="16" fillId="0" borderId="0" xfId="0" applyFont="1" applyFill="1" applyAlignment="1">
      <alignment/>
    </xf>
    <xf numFmtId="0" fontId="1" fillId="0" borderId="0" xfId="0" applyFont="1" applyFill="1" applyAlignment="1">
      <alignment horizontal="left" vertical="top" wrapText="1"/>
    </xf>
    <xf numFmtId="0" fontId="16" fillId="0" borderId="0" xfId="0" applyFont="1" applyAlignment="1">
      <alignment horizontal="left"/>
    </xf>
    <xf numFmtId="209" fontId="0" fillId="36" borderId="14" xfId="0" applyNumberFormat="1" applyFill="1" applyBorder="1" applyAlignment="1">
      <alignment horizontal="left"/>
    </xf>
    <xf numFmtId="3" fontId="0" fillId="0" borderId="0" xfId="0" applyNumberFormat="1" applyAlignment="1">
      <alignment horizontal="center"/>
    </xf>
    <xf numFmtId="209" fontId="0" fillId="0" borderId="0" xfId="0" applyNumberFormat="1" applyFill="1" applyBorder="1" applyAlignment="1">
      <alignment horizontal="left"/>
    </xf>
    <xf numFmtId="3" fontId="0" fillId="0" borderId="0" xfId="0" applyNumberFormat="1" applyFill="1" applyAlignment="1">
      <alignment horizontal="center"/>
    </xf>
    <xf numFmtId="0" fontId="0" fillId="0" borderId="11" xfId="0" applyFont="1" applyFill="1" applyBorder="1" applyAlignment="1">
      <alignment horizontal="left"/>
    </xf>
    <xf numFmtId="0" fontId="16" fillId="0" borderId="0" xfId="0" applyFont="1" applyFill="1" applyBorder="1" applyAlignment="1">
      <alignment/>
    </xf>
    <xf numFmtId="0" fontId="17" fillId="0" borderId="0" xfId="0" applyFont="1" applyBorder="1" applyAlignment="1">
      <alignment/>
    </xf>
    <xf numFmtId="0" fontId="18" fillId="0" borderId="0" xfId="0" applyFont="1" applyBorder="1" applyAlignment="1">
      <alignment/>
    </xf>
    <xf numFmtId="0" fontId="20" fillId="0" borderId="0" xfId="0" applyFont="1" applyBorder="1" applyAlignment="1">
      <alignment horizontal="left"/>
    </xf>
    <xf numFmtId="0" fontId="0" fillId="0" borderId="0" xfId="0" applyFill="1" applyBorder="1" applyAlignment="1">
      <alignment/>
    </xf>
    <xf numFmtId="9" fontId="0" fillId="0" borderId="0" xfId="0" applyNumberFormat="1" applyAlignment="1">
      <alignment/>
    </xf>
    <xf numFmtId="0" fontId="1" fillId="37" borderId="0" xfId="0" applyFont="1" applyFill="1" applyAlignment="1">
      <alignment horizontal="center" vertical="top" wrapText="1"/>
    </xf>
    <xf numFmtId="0" fontId="16" fillId="0" borderId="0" xfId="0" applyFont="1" applyBorder="1" applyAlignment="1">
      <alignment horizontal="left" wrapText="1"/>
    </xf>
    <xf numFmtId="0" fontId="7" fillId="0" borderId="0" xfId="0" applyFont="1" applyFill="1" applyBorder="1" applyAlignment="1" applyProtection="1">
      <alignment wrapText="1"/>
      <protection locked="0"/>
    </xf>
    <xf numFmtId="0" fontId="6" fillId="0" borderId="0" xfId="0" applyFont="1" applyAlignment="1">
      <alignment wrapText="1"/>
    </xf>
    <xf numFmtId="38" fontId="6" fillId="0" borderId="0" xfId="0" applyNumberFormat="1" applyFont="1" applyBorder="1" applyAlignment="1" applyProtection="1">
      <alignment wrapText="1"/>
      <protection/>
    </xf>
    <xf numFmtId="173" fontId="6" fillId="0" borderId="0" xfId="0" applyNumberFormat="1" applyFont="1" applyAlignment="1" applyProtection="1">
      <alignment/>
      <protection locked="0"/>
    </xf>
    <xf numFmtId="175" fontId="1" fillId="0" borderId="0" xfId="0" applyNumberFormat="1" applyFont="1" applyBorder="1" applyAlignment="1" applyProtection="1">
      <alignment wrapText="1"/>
      <protection locked="0"/>
    </xf>
    <xf numFmtId="0" fontId="3" fillId="0" borderId="0" xfId="0" applyFont="1" applyAlignment="1">
      <alignment horizontal="right"/>
    </xf>
    <xf numFmtId="0" fontId="3" fillId="0" borderId="12" xfId="0" applyFont="1" applyBorder="1" applyAlignment="1">
      <alignment horizontal="right"/>
    </xf>
    <xf numFmtId="0" fontId="3" fillId="0" borderId="0" xfId="0" applyFont="1" applyAlignment="1">
      <alignment horizontal="right" wrapText="1"/>
    </xf>
    <xf numFmtId="0" fontId="16" fillId="0" borderId="0" xfId="0" applyFont="1" applyFill="1" applyBorder="1" applyAlignment="1">
      <alignment horizontal="left" wrapText="1"/>
    </xf>
    <xf numFmtId="178" fontId="6" fillId="0" borderId="0" xfId="49" applyFont="1" applyAlignment="1" applyProtection="1">
      <alignment/>
      <protection locked="0"/>
    </xf>
    <xf numFmtId="38" fontId="21" fillId="0" borderId="0" xfId="0" applyNumberFormat="1" applyFont="1" applyAlignment="1" applyProtection="1">
      <alignment/>
      <protection locked="0"/>
    </xf>
    <xf numFmtId="0" fontId="0" fillId="0" borderId="0" xfId="0" applyNumberFormat="1" applyFont="1" applyFill="1" applyAlignment="1">
      <alignment horizontal="left" vertical="top" wrapText="1"/>
    </xf>
    <xf numFmtId="201" fontId="0" fillId="36" borderId="15" xfId="0" applyNumberFormat="1" applyFill="1" applyBorder="1" applyAlignment="1">
      <alignment horizontal="left"/>
    </xf>
    <xf numFmtId="201" fontId="0" fillId="36" borderId="16" xfId="0" applyNumberFormat="1" applyFont="1" applyFill="1" applyBorder="1" applyAlignment="1">
      <alignment horizontal="left"/>
    </xf>
    <xf numFmtId="0" fontId="18" fillId="0" borderId="0" xfId="0" applyFont="1" applyBorder="1" applyAlignment="1">
      <alignment horizontal="left" wrapText="1"/>
    </xf>
    <xf numFmtId="0" fontId="1" fillId="0" borderId="0" xfId="0" applyFont="1" applyBorder="1" applyAlignment="1">
      <alignment horizontal="left" wrapText="1"/>
    </xf>
    <xf numFmtId="0" fontId="17" fillId="0" borderId="17" xfId="0" applyFont="1" applyBorder="1" applyAlignment="1">
      <alignment horizontal="left"/>
    </xf>
    <xf numFmtId="0" fontId="0" fillId="0" borderId="0" xfId="0" applyAlignment="1">
      <alignment wrapText="1"/>
    </xf>
    <xf numFmtId="0" fontId="0" fillId="0" borderId="0" xfId="0" applyFont="1" applyFill="1" applyBorder="1" applyAlignment="1">
      <alignment wrapText="1"/>
    </xf>
    <xf numFmtId="0" fontId="0" fillId="0" borderId="0" xfId="0" applyAlignment="1">
      <alignment horizontal="center" wrapText="1"/>
    </xf>
    <xf numFmtId="0" fontId="17" fillId="0" borderId="17" xfId="0" applyFont="1" applyBorder="1" applyAlignment="1">
      <alignment horizontal="left" wrapText="1"/>
    </xf>
    <xf numFmtId="0" fontId="0" fillId="0" borderId="0" xfId="0" applyFont="1" applyFill="1" applyBorder="1" applyAlignment="1">
      <alignment horizontal="left" wrapText="1"/>
    </xf>
    <xf numFmtId="0" fontId="0" fillId="0" borderId="18" xfId="0" applyFont="1" applyFill="1" applyBorder="1" applyAlignment="1">
      <alignment horizontal="left" wrapText="1"/>
    </xf>
    <xf numFmtId="0" fontId="16" fillId="0" borderId="0" xfId="0" applyFont="1" applyAlignment="1">
      <alignment horizontal="left" wrapText="1"/>
    </xf>
    <xf numFmtId="209" fontId="0" fillId="36" borderId="14" xfId="0" applyNumberFormat="1" applyFill="1" applyBorder="1" applyAlignment="1">
      <alignment horizontal="left" wrapText="1"/>
    </xf>
    <xf numFmtId="0" fontId="0" fillId="0" borderId="0" xfId="0" applyFill="1" applyAlignment="1">
      <alignment wrapText="1"/>
    </xf>
    <xf numFmtId="0" fontId="0" fillId="0" borderId="11" xfId="0" applyFont="1" applyFill="1" applyBorder="1" applyAlignment="1">
      <alignment horizontal="left" wrapText="1"/>
    </xf>
    <xf numFmtId="201" fontId="0" fillId="36" borderId="16" xfId="0" applyNumberFormat="1" applyFont="1" applyFill="1" applyBorder="1" applyAlignment="1">
      <alignment horizontal="left" wrapText="1"/>
    </xf>
    <xf numFmtId="201" fontId="0" fillId="36" borderId="19" xfId="0" applyNumberFormat="1" applyFill="1" applyBorder="1" applyAlignment="1">
      <alignment horizontal="left" wrapText="1"/>
    </xf>
    <xf numFmtId="0" fontId="17" fillId="0" borderId="0" xfId="0" applyFont="1" applyBorder="1" applyAlignment="1">
      <alignment wrapText="1"/>
    </xf>
    <xf numFmtId="0" fontId="0" fillId="0" borderId="0" xfId="0" applyBorder="1" applyAlignment="1">
      <alignment wrapText="1"/>
    </xf>
    <xf numFmtId="0" fontId="16" fillId="0" borderId="0" xfId="0" applyFont="1" applyBorder="1" applyAlignment="1">
      <alignment wrapText="1"/>
    </xf>
    <xf numFmtId="0" fontId="20" fillId="0" borderId="0" xfId="0" applyFont="1" applyAlignment="1">
      <alignment wrapText="1"/>
    </xf>
    <xf numFmtId="0" fontId="0" fillId="36" borderId="19" xfId="0" applyFill="1" applyBorder="1" applyAlignment="1">
      <alignment horizontal="left" wrapText="1"/>
    </xf>
    <xf numFmtId="0" fontId="0" fillId="0" borderId="20" xfId="0" applyFill="1" applyBorder="1" applyAlignment="1">
      <alignment horizontal="left" wrapText="1"/>
    </xf>
    <xf numFmtId="0" fontId="0" fillId="0" borderId="0" xfId="0" applyFill="1" applyBorder="1" applyAlignment="1">
      <alignment horizontal="left" wrapText="1"/>
    </xf>
    <xf numFmtId="0" fontId="1" fillId="0" borderId="11" xfId="0" applyFont="1" applyBorder="1" applyAlignment="1" applyProtection="1">
      <alignment wrapText="1"/>
      <protection locked="0"/>
    </xf>
    <xf numFmtId="0" fontId="23" fillId="0" borderId="0" xfId="0" applyFont="1" applyBorder="1" applyAlignment="1" applyProtection="1">
      <alignment wrapText="1"/>
      <protection locked="0"/>
    </xf>
    <xf numFmtId="0" fontId="3" fillId="0" borderId="0" xfId="0" applyFont="1" applyBorder="1" applyAlignment="1" applyProtection="1">
      <alignment vertical="center" wrapText="1"/>
      <protection locked="0"/>
    </xf>
    <xf numFmtId="0" fontId="1" fillId="0" borderId="0" xfId="0" applyFont="1" applyBorder="1" applyAlignment="1" applyProtection="1">
      <alignment horizontal="center"/>
      <protection locked="0"/>
    </xf>
    <xf numFmtId="0" fontId="5" fillId="0" borderId="0" xfId="0" applyFont="1" applyAlignment="1" applyProtection="1">
      <alignment wrapText="1"/>
      <protection locked="0"/>
    </xf>
    <xf numFmtId="0" fontId="23" fillId="0" borderId="0" xfId="0" applyFont="1" applyAlignment="1" applyProtection="1">
      <alignment/>
      <protection locked="0"/>
    </xf>
    <xf numFmtId="0" fontId="23" fillId="0" borderId="11" xfId="0" applyFont="1" applyBorder="1" applyAlignment="1" applyProtection="1">
      <alignment/>
      <protection locked="0"/>
    </xf>
    <xf numFmtId="40" fontId="23" fillId="0" borderId="0" xfId="0" applyNumberFormat="1" applyFont="1" applyBorder="1" applyAlignment="1" applyProtection="1">
      <alignment wrapText="1"/>
      <protection locked="0"/>
    </xf>
    <xf numFmtId="38" fontId="3" fillId="0" borderId="0" xfId="0" applyNumberFormat="1" applyFont="1" applyBorder="1" applyAlignment="1" applyProtection="1">
      <alignment wrapText="1"/>
      <protection locked="0"/>
    </xf>
    <xf numFmtId="0" fontId="23" fillId="0" borderId="0" xfId="0" applyFont="1" applyAlignment="1" applyProtection="1">
      <alignment wrapText="1"/>
      <protection locked="0"/>
    </xf>
    <xf numFmtId="0" fontId="23" fillId="0" borderId="11" xfId="0" applyFont="1" applyBorder="1" applyAlignment="1" applyProtection="1">
      <alignment wrapText="1"/>
      <protection locked="0"/>
    </xf>
    <xf numFmtId="0" fontId="23" fillId="0" borderId="0" xfId="0" applyFont="1" applyFill="1" applyBorder="1" applyAlignment="1" applyProtection="1">
      <alignment wrapText="1"/>
      <protection locked="0"/>
    </xf>
    <xf numFmtId="0" fontId="23" fillId="0" borderId="0" xfId="0" applyFont="1" applyFill="1" applyAlignment="1" applyProtection="1">
      <alignment wrapText="1"/>
      <protection locked="0"/>
    </xf>
    <xf numFmtId="0" fontId="23" fillId="0" borderId="0" xfId="0" applyFont="1" applyAlignment="1">
      <alignment/>
    </xf>
    <xf numFmtId="0" fontId="5" fillId="0" borderId="0" xfId="0" applyFont="1" applyAlignment="1" applyProtection="1">
      <alignment/>
      <protection locked="0"/>
    </xf>
    <xf numFmtId="0" fontId="0" fillId="36" borderId="14" xfId="0" applyFill="1" applyBorder="1" applyAlignment="1">
      <alignment horizontal="left" wrapText="1"/>
    </xf>
    <xf numFmtId="0" fontId="0" fillId="36" borderId="14" xfId="0" applyFont="1" applyFill="1" applyBorder="1" applyAlignment="1">
      <alignment horizontal="left" wrapText="1"/>
    </xf>
    <xf numFmtId="40" fontId="1" fillId="0" borderId="0" xfId="0" applyNumberFormat="1" applyFont="1" applyAlignment="1" applyProtection="1">
      <alignment/>
      <protection locked="0"/>
    </xf>
    <xf numFmtId="0" fontId="1" fillId="33"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6" fillId="0" borderId="0" xfId="0" applyFont="1" applyFill="1" applyBorder="1" applyAlignment="1" applyProtection="1">
      <alignment horizontal="left" wrapText="1"/>
      <protection locked="0"/>
    </xf>
    <xf numFmtId="0" fontId="6" fillId="0" borderId="0" xfId="0" applyFont="1" applyFill="1" applyAlignment="1" applyProtection="1">
      <alignment wrapText="1"/>
      <protection locked="0"/>
    </xf>
    <xf numFmtId="0" fontId="7" fillId="0" borderId="0" xfId="0" applyFont="1" applyAlignment="1" applyProtection="1">
      <alignment horizontal="center"/>
      <protection locked="0"/>
    </xf>
    <xf numFmtId="0" fontId="7" fillId="0" borderId="0" xfId="0" applyFont="1" applyAlignment="1">
      <alignment/>
    </xf>
    <xf numFmtId="0" fontId="6" fillId="0" borderId="0" xfId="0" applyNumberFormat="1" applyFont="1" applyFill="1" applyAlignment="1">
      <alignment horizontal="left" vertical="top" wrapText="1"/>
    </xf>
    <xf numFmtId="38" fontId="1" fillId="0" borderId="0" xfId="0" applyNumberFormat="1" applyFont="1" applyAlignment="1" applyProtection="1">
      <alignment/>
      <protection locked="0"/>
    </xf>
    <xf numFmtId="38" fontId="1" fillId="0" borderId="11" xfId="0" applyNumberFormat="1" applyFont="1" applyBorder="1" applyAlignment="1" applyProtection="1">
      <alignment/>
      <protection locked="0"/>
    </xf>
    <xf numFmtId="38" fontId="6" fillId="0" borderId="11" xfId="0" applyNumberFormat="1" applyFont="1" applyBorder="1" applyAlignment="1" applyProtection="1">
      <alignment wrapText="1"/>
      <protection locked="0"/>
    </xf>
    <xf numFmtId="38" fontId="6" fillId="0" borderId="11" xfId="0" applyNumberFormat="1" applyFont="1" applyBorder="1" applyAlignment="1" applyProtection="1">
      <alignment/>
      <protection locked="0"/>
    </xf>
    <xf numFmtId="38" fontId="6" fillId="0" borderId="0" xfId="0" applyNumberFormat="1" applyFont="1" applyAlignment="1" applyProtection="1">
      <alignment/>
      <protection locked="0"/>
    </xf>
    <xf numFmtId="0" fontId="0" fillId="36" borderId="14" xfId="0" applyFill="1" applyBorder="1" applyAlignment="1">
      <alignment horizontal="center"/>
    </xf>
    <xf numFmtId="0" fontId="23" fillId="0" borderId="0" xfId="0" applyFont="1" applyFill="1" applyAlignment="1" applyProtection="1">
      <alignment/>
      <protection locked="0"/>
    </xf>
    <xf numFmtId="0" fontId="1" fillId="0" borderId="11" xfId="0" applyFont="1" applyFill="1" applyBorder="1" applyAlignment="1" applyProtection="1">
      <alignment/>
      <protection locked="0"/>
    </xf>
    <xf numFmtId="0" fontId="1" fillId="0" borderId="11" xfId="0" applyFont="1" applyFill="1" applyBorder="1" applyAlignment="1" applyProtection="1">
      <alignment wrapText="1"/>
      <protection locked="0"/>
    </xf>
    <xf numFmtId="0" fontId="23" fillId="0" borderId="11" xfId="0" applyFont="1" applyFill="1" applyBorder="1" applyAlignment="1" applyProtection="1">
      <alignment wrapText="1"/>
      <protection locked="0"/>
    </xf>
    <xf numFmtId="40" fontId="6" fillId="0" borderId="11" xfId="0" applyNumberFormat="1" applyFont="1" applyFill="1" applyBorder="1" applyAlignment="1" applyProtection="1">
      <alignment/>
      <protection locked="0"/>
    </xf>
    <xf numFmtId="38" fontId="6" fillId="0" borderId="0" xfId="0" applyNumberFormat="1" applyFont="1" applyFill="1" applyAlignment="1" applyProtection="1">
      <alignment/>
      <protection locked="0"/>
    </xf>
    <xf numFmtId="0" fontId="6" fillId="0" borderId="0" xfId="0" applyFont="1" applyFill="1" applyAlignment="1" applyProtection="1">
      <alignment/>
      <protection locked="0"/>
    </xf>
    <xf numFmtId="38" fontId="6" fillId="0" borderId="11" xfId="0" applyNumberFormat="1" applyFont="1" applyFill="1" applyBorder="1" applyAlignment="1" applyProtection="1">
      <alignment/>
      <protection locked="0"/>
    </xf>
    <xf numFmtId="38" fontId="6" fillId="0" borderId="11" xfId="0" applyNumberFormat="1" applyFont="1" applyFill="1" applyBorder="1" applyAlignment="1" applyProtection="1">
      <alignment wrapText="1"/>
      <protection locked="0"/>
    </xf>
    <xf numFmtId="38" fontId="6" fillId="0" borderId="0" xfId="0" applyNumberFormat="1" applyFont="1" applyFill="1" applyAlignment="1" applyProtection="1">
      <alignment wrapText="1"/>
      <protection locked="0"/>
    </xf>
    <xf numFmtId="0" fontId="23" fillId="0" borderId="0" xfId="0" applyFont="1" applyFill="1" applyAlignment="1">
      <alignment/>
    </xf>
    <xf numFmtId="0" fontId="23" fillId="0" borderId="11" xfId="0" applyFont="1" applyFill="1" applyBorder="1" applyAlignment="1" applyProtection="1">
      <alignment vertical="top" wrapText="1"/>
      <protection locked="0"/>
    </xf>
    <xf numFmtId="0" fontId="3" fillId="0" borderId="0" xfId="0" applyFont="1" applyFill="1" applyAlignment="1" applyProtection="1">
      <alignment horizontal="right"/>
      <protection locked="0"/>
    </xf>
    <xf numFmtId="0" fontId="5" fillId="0" borderId="0" xfId="0" applyFont="1" applyFill="1" applyAlignment="1" applyProtection="1">
      <alignment/>
      <protection/>
    </xf>
    <xf numFmtId="0" fontId="5" fillId="0" borderId="0" xfId="0" applyFont="1" applyFill="1" applyAlignment="1" applyProtection="1">
      <alignment/>
      <protection locked="0"/>
    </xf>
    <xf numFmtId="0" fontId="3" fillId="0" borderId="0" xfId="0" applyFont="1" applyFill="1" applyBorder="1" applyAlignment="1" applyProtection="1">
      <alignment horizontal="right"/>
      <protection locked="0"/>
    </xf>
    <xf numFmtId="0" fontId="3" fillId="0" borderId="12" xfId="0" applyFont="1" applyFill="1" applyBorder="1" applyAlignment="1" applyProtection="1">
      <alignment horizontal="right"/>
      <protection locked="0"/>
    </xf>
    <xf numFmtId="0" fontId="3" fillId="0" borderId="13" xfId="0" applyFont="1" applyFill="1" applyBorder="1" applyAlignment="1" applyProtection="1">
      <alignment horizontal="center" wrapText="1"/>
      <protection locked="0"/>
    </xf>
    <xf numFmtId="0" fontId="23" fillId="0" borderId="0" xfId="0" applyFont="1" applyFill="1" applyBorder="1" applyAlignment="1" applyProtection="1">
      <alignment vertical="center" wrapText="1"/>
      <protection locked="0"/>
    </xf>
    <xf numFmtId="0" fontId="23" fillId="0" borderId="18" xfId="0" applyFont="1" applyFill="1" applyBorder="1" applyAlignment="1" applyProtection="1">
      <alignment wrapText="1"/>
      <protection locked="0"/>
    </xf>
    <xf numFmtId="0" fontId="23" fillId="0" borderId="0" xfId="0" applyFont="1" applyAlignment="1">
      <alignment/>
    </xf>
    <xf numFmtId="0" fontId="24" fillId="0" borderId="13" xfId="0" applyFont="1" applyBorder="1" applyAlignment="1" applyProtection="1">
      <alignment horizontal="center" wrapText="1"/>
      <protection locked="0"/>
    </xf>
    <xf numFmtId="0" fontId="24" fillId="0" borderId="13" xfId="0" applyFont="1" applyFill="1" applyBorder="1" applyAlignment="1" applyProtection="1">
      <alignment horizontal="center" wrapText="1"/>
      <protection locked="0"/>
    </xf>
    <xf numFmtId="38" fontId="3" fillId="0" borderId="0" xfId="0" applyNumberFormat="1" applyFont="1" applyFill="1" applyBorder="1" applyAlignment="1" applyProtection="1">
      <alignment horizontal="right" wrapText="1"/>
      <protection locked="0"/>
    </xf>
    <xf numFmtId="189" fontId="0" fillId="0" borderId="0" xfId="49" applyNumberFormat="1" applyFont="1" applyAlignment="1">
      <alignment/>
    </xf>
    <xf numFmtId="189" fontId="0" fillId="0" borderId="12" xfId="49" applyNumberFormat="1" applyFont="1" applyBorder="1" applyAlignment="1">
      <alignment/>
    </xf>
    <xf numFmtId="0" fontId="6" fillId="0" borderId="0"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0" xfId="0" applyFont="1" applyFill="1" applyBorder="1" applyAlignment="1">
      <alignment horizontal="left" wrapText="1"/>
    </xf>
    <xf numFmtId="0" fontId="6" fillId="0" borderId="21" xfId="0" applyFont="1" applyFill="1" applyBorder="1" applyAlignment="1">
      <alignment horizontal="left" wrapText="1"/>
    </xf>
    <xf numFmtId="0" fontId="9" fillId="0" borderId="20" xfId="0" applyFont="1" applyFill="1" applyBorder="1" applyAlignment="1" applyProtection="1">
      <alignment wrapText="1"/>
      <protection locked="0"/>
    </xf>
    <xf numFmtId="189" fontId="9" fillId="0" borderId="0" xfId="49" applyNumberFormat="1" applyFont="1" applyBorder="1" applyAlignment="1" applyProtection="1">
      <alignment wrapText="1"/>
      <protection locked="0"/>
    </xf>
    <xf numFmtId="38" fontId="23" fillId="0" borderId="11" xfId="47" applyNumberFormat="1" applyFont="1" applyBorder="1" applyAlignment="1" applyProtection="1">
      <alignment/>
      <protection locked="0"/>
    </xf>
    <xf numFmtId="38" fontId="6" fillId="0" borderId="11" xfId="47" applyNumberFormat="1" applyFont="1" applyBorder="1" applyAlignment="1" applyProtection="1">
      <alignment/>
      <protection locked="0"/>
    </xf>
    <xf numFmtId="38" fontId="3" fillId="0" borderId="11" xfId="0" applyNumberFormat="1" applyFont="1" applyFill="1" applyBorder="1" applyAlignment="1" applyProtection="1">
      <alignment/>
      <protection locked="0"/>
    </xf>
    <xf numFmtId="0" fontId="6" fillId="0" borderId="0" xfId="0" applyFont="1" applyFill="1" applyBorder="1" applyAlignment="1">
      <alignment horizontal="right" wrapText="1"/>
    </xf>
    <xf numFmtId="38" fontId="6" fillId="0" borderId="0" xfId="0" applyNumberFormat="1" applyFont="1" applyFill="1" applyBorder="1" applyAlignment="1">
      <alignment horizontal="left" wrapText="1"/>
    </xf>
    <xf numFmtId="1" fontId="1" fillId="0" borderId="0" xfId="0" applyNumberFormat="1" applyFont="1" applyAlignment="1" applyProtection="1">
      <alignment/>
      <protection locked="0"/>
    </xf>
    <xf numFmtId="0" fontId="23" fillId="0" borderId="11" xfId="0" applyFont="1" applyFill="1" applyBorder="1" applyAlignment="1" applyProtection="1">
      <alignment horizontal="left" wrapText="1"/>
      <protection locked="0"/>
    </xf>
    <xf numFmtId="0" fontId="3" fillId="0" borderId="0" xfId="0" applyFont="1" applyBorder="1" applyAlignment="1" applyProtection="1">
      <alignment wrapText="1"/>
      <protection locked="0"/>
    </xf>
    <xf numFmtId="0" fontId="6" fillId="0" borderId="0" xfId="0" applyFont="1" applyAlignment="1" applyProtection="1">
      <alignment horizontal="center"/>
      <protection locked="0"/>
    </xf>
    <xf numFmtId="0" fontId="6" fillId="0" borderId="0"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0" fontId="6" fillId="0" borderId="11" xfId="0" applyFont="1" applyBorder="1" applyAlignment="1" applyProtection="1">
      <alignment vertical="center" wrapText="1"/>
      <protection locked="0"/>
    </xf>
    <xf numFmtId="38" fontId="6" fillId="0" borderId="0" xfId="0" applyNumberFormat="1" applyFont="1" applyFill="1" applyBorder="1" applyAlignment="1" applyProtection="1">
      <alignment/>
      <protection locked="0"/>
    </xf>
    <xf numFmtId="0" fontId="23" fillId="0" borderId="0" xfId="0" applyFont="1" applyFill="1" applyBorder="1" applyAlignment="1" applyProtection="1">
      <alignment vertical="top" wrapText="1"/>
      <protection locked="0"/>
    </xf>
    <xf numFmtId="0" fontId="7" fillId="0" borderId="11" xfId="0" applyFont="1" applyFill="1" applyBorder="1" applyAlignment="1" applyProtection="1">
      <alignment wrapText="1"/>
      <protection locked="0"/>
    </xf>
    <xf numFmtId="0" fontId="23" fillId="0" borderId="18" xfId="0" applyFont="1" applyBorder="1" applyAlignment="1" applyProtection="1">
      <alignment wrapText="1"/>
      <protection locked="0"/>
    </xf>
    <xf numFmtId="0" fontId="6" fillId="0" borderId="18" xfId="0" applyFont="1" applyFill="1" applyBorder="1" applyAlignment="1" applyProtection="1">
      <alignment vertical="top" wrapText="1"/>
      <protection locked="0"/>
    </xf>
    <xf numFmtId="0" fontId="3" fillId="36" borderId="13" xfId="0" applyFont="1" applyFill="1" applyBorder="1" applyAlignment="1" applyProtection="1">
      <alignment horizontal="center"/>
      <protection locked="0"/>
    </xf>
    <xf numFmtId="38" fontId="3" fillId="36" borderId="0" xfId="0" applyNumberFormat="1" applyFont="1" applyFill="1" applyBorder="1" applyAlignment="1" applyProtection="1">
      <alignment wrapText="1"/>
      <protection locked="0"/>
    </xf>
    <xf numFmtId="38" fontId="6" fillId="36" borderId="0" xfId="0" applyNumberFormat="1" applyFont="1" applyFill="1" applyBorder="1" applyAlignment="1" applyProtection="1">
      <alignment wrapText="1"/>
      <protection locked="0"/>
    </xf>
    <xf numFmtId="38" fontId="6" fillId="36" borderId="11" xfId="0" applyNumberFormat="1" applyFont="1" applyFill="1" applyBorder="1" applyAlignment="1" applyProtection="1">
      <alignment/>
      <protection locked="0"/>
    </xf>
    <xf numFmtId="38" fontId="6" fillId="36" borderId="11" xfId="0" applyNumberFormat="1" applyFont="1" applyFill="1" applyBorder="1" applyAlignment="1" applyProtection="1">
      <alignment wrapText="1"/>
      <protection locked="0"/>
    </xf>
    <xf numFmtId="38" fontId="6" fillId="36" borderId="0" xfId="0" applyNumberFormat="1" applyFont="1" applyFill="1" applyAlignment="1" applyProtection="1">
      <alignment/>
      <protection locked="0"/>
    </xf>
    <xf numFmtId="38" fontId="6" fillId="36" borderId="0" xfId="0" applyNumberFormat="1" applyFont="1" applyFill="1" applyBorder="1" applyAlignment="1" applyProtection="1">
      <alignment/>
      <protection locked="0"/>
    </xf>
    <xf numFmtId="40" fontId="6" fillId="36" borderId="11" xfId="0" applyNumberFormat="1" applyFont="1" applyFill="1" applyBorder="1" applyAlignment="1" applyProtection="1">
      <alignment/>
      <protection locked="0"/>
    </xf>
    <xf numFmtId="0" fontId="23" fillId="0" borderId="0" xfId="0" applyFont="1" applyFill="1" applyBorder="1" applyAlignment="1" applyProtection="1">
      <alignment horizontal="left" wrapText="1"/>
      <protection locked="0"/>
    </xf>
    <xf numFmtId="0" fontId="6" fillId="0" borderId="0" xfId="0" applyFont="1" applyFill="1" applyAlignment="1" applyProtection="1">
      <alignment vertical="top" wrapText="1"/>
      <protection locked="0"/>
    </xf>
    <xf numFmtId="0" fontId="6" fillId="36" borderId="11" xfId="0" applyFont="1" applyFill="1" applyBorder="1" applyAlignment="1" applyProtection="1">
      <alignment/>
      <protection locked="0"/>
    </xf>
    <xf numFmtId="38" fontId="1" fillId="36" borderId="0" xfId="0" applyNumberFormat="1" applyFont="1" applyFill="1" applyAlignment="1" applyProtection="1">
      <alignment/>
      <protection locked="0"/>
    </xf>
    <xf numFmtId="38" fontId="1" fillId="36" borderId="11" xfId="0" applyNumberFormat="1" applyFont="1" applyFill="1" applyBorder="1" applyAlignment="1" applyProtection="1">
      <alignment/>
      <protection locked="0"/>
    </xf>
    <xf numFmtId="173" fontId="6" fillId="36" borderId="0" xfId="0" applyNumberFormat="1" applyFont="1" applyFill="1" applyBorder="1" applyAlignment="1" applyProtection="1">
      <alignment wrapText="1"/>
      <protection locked="0"/>
    </xf>
    <xf numFmtId="173" fontId="6" fillId="36" borderId="0" xfId="0" applyNumberFormat="1" applyFont="1" applyFill="1" applyAlignment="1" applyProtection="1">
      <alignment/>
      <protection locked="0"/>
    </xf>
    <xf numFmtId="173" fontId="3" fillId="36" borderId="11" xfId="0" applyNumberFormat="1" applyFont="1" applyFill="1" applyBorder="1" applyAlignment="1" applyProtection="1">
      <alignment/>
      <protection locked="0"/>
    </xf>
    <xf numFmtId="173" fontId="6" fillId="36" borderId="0" xfId="0" applyNumberFormat="1" applyFont="1" applyFill="1" applyBorder="1" applyAlignment="1" applyProtection="1">
      <alignment/>
      <protection locked="0"/>
    </xf>
    <xf numFmtId="38" fontId="3" fillId="36" borderId="11" xfId="0" applyNumberFormat="1" applyFont="1" applyFill="1" applyBorder="1" applyAlignment="1" applyProtection="1">
      <alignment/>
      <protection locked="0"/>
    </xf>
    <xf numFmtId="0" fontId="25" fillId="0" borderId="0" xfId="0" applyFont="1" applyAlignment="1">
      <alignment/>
    </xf>
    <xf numFmtId="0" fontId="27" fillId="0" borderId="0" xfId="0" applyFont="1" applyAlignment="1" applyProtection="1">
      <alignment/>
      <protection locked="0"/>
    </xf>
    <xf numFmtId="38" fontId="23" fillId="0" borderId="0" xfId="0" applyNumberFormat="1" applyFont="1" applyFill="1" applyAlignment="1" applyProtection="1">
      <alignment wrapText="1"/>
      <protection locked="0"/>
    </xf>
    <xf numFmtId="0" fontId="4" fillId="0" borderId="12" xfId="0" applyFont="1" applyBorder="1" applyAlignment="1" applyProtection="1">
      <alignment/>
      <protection locked="0"/>
    </xf>
    <xf numFmtId="0" fontId="6" fillId="0" borderId="11" xfId="0" applyFont="1" applyFill="1" applyBorder="1" applyAlignment="1" applyProtection="1">
      <alignment horizontal="left" wrapText="1"/>
      <protection locked="0"/>
    </xf>
    <xf numFmtId="40" fontId="23" fillId="0" borderId="11" xfId="0" applyNumberFormat="1" applyFont="1" applyBorder="1" applyAlignment="1" applyProtection="1">
      <alignment wrapText="1"/>
      <protection locked="0"/>
    </xf>
    <xf numFmtId="9" fontId="6" fillId="0" borderId="0" xfId="52" applyFont="1" applyAlignment="1" applyProtection="1">
      <alignment/>
      <protection locked="0"/>
    </xf>
    <xf numFmtId="0" fontId="6" fillId="36" borderId="0" xfId="0" applyFont="1" applyFill="1" applyBorder="1" applyAlignment="1" applyProtection="1">
      <alignment/>
      <protection locked="0"/>
    </xf>
    <xf numFmtId="40" fontId="6" fillId="36" borderId="0" xfId="0" applyNumberFormat="1" applyFont="1" applyFill="1" applyBorder="1" applyAlignment="1" applyProtection="1">
      <alignment/>
      <protection locked="0"/>
    </xf>
    <xf numFmtId="40" fontId="6" fillId="0" borderId="0" xfId="0" applyNumberFormat="1" applyFont="1" applyFill="1" applyBorder="1" applyAlignment="1" applyProtection="1">
      <alignment/>
      <protection locked="0"/>
    </xf>
    <xf numFmtId="0" fontId="23" fillId="0" borderId="0" xfId="0" applyFont="1" applyFill="1" applyBorder="1" applyAlignment="1">
      <alignment/>
    </xf>
    <xf numFmtId="0" fontId="1" fillId="0" borderId="21" xfId="0" applyFont="1" applyBorder="1" applyAlignment="1" applyProtection="1">
      <alignment wrapText="1"/>
      <protection locked="0"/>
    </xf>
    <xf numFmtId="38" fontId="1" fillId="36" borderId="0" xfId="0" applyNumberFormat="1" applyFont="1" applyFill="1" applyBorder="1" applyAlignment="1" applyProtection="1">
      <alignment/>
      <protection locked="0"/>
    </xf>
    <xf numFmtId="0" fontId="0" fillId="0" borderId="0" xfId="0" applyFont="1" applyAlignment="1">
      <alignment/>
    </xf>
    <xf numFmtId="38" fontId="23" fillId="0" borderId="11" xfId="0" applyNumberFormat="1" applyFont="1" applyBorder="1" applyAlignment="1" applyProtection="1">
      <alignment/>
      <protection locked="0"/>
    </xf>
    <xf numFmtId="0" fontId="0" fillId="0" borderId="11" xfId="0" applyFont="1" applyBorder="1" applyAlignment="1">
      <alignment/>
    </xf>
    <xf numFmtId="173" fontId="6" fillId="0" borderId="11" xfId="0" applyNumberFormat="1" applyFont="1" applyBorder="1" applyAlignment="1" applyProtection="1">
      <alignment wrapText="1"/>
      <protection locked="0"/>
    </xf>
    <xf numFmtId="173" fontId="6" fillId="36" borderId="11" xfId="0" applyNumberFormat="1" applyFont="1" applyFill="1" applyBorder="1" applyAlignment="1" applyProtection="1">
      <alignment/>
      <protection locked="0"/>
    </xf>
    <xf numFmtId="0" fontId="6" fillId="0" borderId="0" xfId="0" applyFont="1" applyAlignment="1">
      <alignment wrapText="1"/>
    </xf>
    <xf numFmtId="0" fontId="6" fillId="0" borderId="11" xfId="0" applyFont="1" applyBorder="1" applyAlignment="1">
      <alignment wrapText="1"/>
    </xf>
    <xf numFmtId="0" fontId="9" fillId="0" borderId="0" xfId="0" applyFont="1" applyBorder="1" applyAlignment="1" applyProtection="1">
      <alignment horizontal="right" wrapText="1"/>
      <protection locked="0"/>
    </xf>
    <xf numFmtId="0" fontId="6" fillId="0" borderId="0" xfId="0" applyFont="1" applyAlignment="1" applyProtection="1">
      <alignment horizontal="left" wrapText="1"/>
      <protection locked="0"/>
    </xf>
    <xf numFmtId="0" fontId="6" fillId="0" borderId="0" xfId="0" applyFont="1" applyFill="1" applyAlignment="1">
      <alignment wrapText="1"/>
    </xf>
    <xf numFmtId="16" fontId="1" fillId="0" borderId="0" xfId="0" applyNumberFormat="1" applyFont="1" applyFill="1" applyAlignment="1" applyProtection="1">
      <alignment/>
      <protection locked="0"/>
    </xf>
    <xf numFmtId="38" fontId="6" fillId="0" borderId="11" xfId="47" applyNumberFormat="1" applyFont="1" applyFill="1" applyBorder="1" applyAlignment="1" applyProtection="1">
      <alignment/>
      <protection locked="0"/>
    </xf>
    <xf numFmtId="0" fontId="3" fillId="0" borderId="0" xfId="0" applyFont="1" applyBorder="1" applyAlignment="1">
      <alignment horizontal="right"/>
    </xf>
    <xf numFmtId="189" fontId="0" fillId="0" borderId="0" xfId="49" applyNumberFormat="1" applyFont="1" applyBorder="1" applyAlignment="1">
      <alignment/>
    </xf>
    <xf numFmtId="0" fontId="6" fillId="0" borderId="0" xfId="0" applyFont="1" applyBorder="1" applyAlignment="1" applyProtection="1">
      <alignment vertical="center" wrapText="1"/>
      <protection locked="0"/>
    </xf>
    <xf numFmtId="189" fontId="0" fillId="0" borderId="0" xfId="49" applyNumberFormat="1" applyFont="1" applyAlignment="1">
      <alignment/>
    </xf>
    <xf numFmtId="3" fontId="1" fillId="0" borderId="0" xfId="0" applyNumberFormat="1" applyFont="1" applyAlignment="1" applyProtection="1">
      <alignment horizontal="right"/>
      <protection locked="0"/>
    </xf>
    <xf numFmtId="3" fontId="6" fillId="0" borderId="0" xfId="0" applyNumberFormat="1" applyFont="1" applyAlignment="1" applyProtection="1">
      <alignment horizontal="right"/>
      <protection locked="0"/>
    </xf>
    <xf numFmtId="3" fontId="1" fillId="0" borderId="0" xfId="0" applyNumberFormat="1" applyFont="1" applyAlignment="1" applyProtection="1">
      <alignment/>
      <protection locked="0"/>
    </xf>
    <xf numFmtId="3" fontId="1" fillId="0" borderId="11" xfId="0" applyNumberFormat="1" applyFont="1" applyBorder="1" applyAlignment="1" applyProtection="1">
      <alignment horizontal="right"/>
      <protection locked="0"/>
    </xf>
    <xf numFmtId="0" fontId="23" fillId="0" borderId="0" xfId="0" applyFont="1" applyFill="1" applyAlignment="1">
      <alignment wrapText="1"/>
    </xf>
    <xf numFmtId="3" fontId="1" fillId="0" borderId="0" xfId="0" applyNumberFormat="1" applyFont="1" applyFill="1" applyAlignment="1" applyProtection="1">
      <alignment horizontal="right"/>
      <protection locked="0"/>
    </xf>
    <xf numFmtId="38" fontId="1" fillId="0" borderId="0" xfId="0" applyNumberFormat="1" applyFont="1" applyAlignment="1" applyProtection="1">
      <alignment wrapText="1"/>
      <protection locked="0"/>
    </xf>
    <xf numFmtId="0" fontId="20" fillId="0" borderId="0" xfId="0" applyFont="1" applyBorder="1" applyAlignment="1" applyProtection="1">
      <alignment wrapText="1"/>
      <protection locked="0"/>
    </xf>
    <xf numFmtId="0" fontId="20" fillId="0" borderId="0" xfId="0" applyFont="1" applyFill="1" applyBorder="1" applyAlignment="1" applyProtection="1">
      <alignment wrapText="1"/>
      <protection locked="0"/>
    </xf>
    <xf numFmtId="0" fontId="28" fillId="0" borderId="0" xfId="0" applyFont="1" applyFill="1" applyBorder="1" applyAlignment="1">
      <alignment/>
    </xf>
    <xf numFmtId="0" fontId="18" fillId="0" borderId="0" xfId="0" applyFont="1" applyAlignment="1" applyProtection="1">
      <alignment/>
      <protection locked="0"/>
    </xf>
    <xf numFmtId="3" fontId="29" fillId="0" borderId="0" xfId="0" applyNumberFormat="1" applyFont="1" applyBorder="1" applyAlignment="1" applyProtection="1">
      <alignment horizontal="center" wrapText="1"/>
      <protection locked="0"/>
    </xf>
    <xf numFmtId="0" fontId="29" fillId="0" borderId="0" xfId="0" applyFont="1" applyBorder="1" applyAlignment="1" applyProtection="1">
      <alignment wrapText="1"/>
      <protection locked="0"/>
    </xf>
    <xf numFmtId="0" fontId="18" fillId="0" borderId="0" xfId="0" applyFont="1" applyBorder="1" applyAlignment="1" applyProtection="1">
      <alignment wrapText="1"/>
      <protection locked="0"/>
    </xf>
    <xf numFmtId="0" fontId="20" fillId="36" borderId="0" xfId="0" applyFont="1" applyFill="1" applyBorder="1" applyAlignment="1" applyProtection="1">
      <alignment horizontal="left" wrapText="1"/>
      <protection locked="0"/>
    </xf>
    <xf numFmtId="0" fontId="18" fillId="0" borderId="0" xfId="0" applyFont="1" applyFill="1" applyBorder="1" applyAlignment="1" applyProtection="1">
      <alignment wrapText="1"/>
      <protection locked="0"/>
    </xf>
    <xf numFmtId="0" fontId="0" fillId="0" borderId="0" xfId="0" applyFont="1" applyAlignment="1">
      <alignment/>
    </xf>
    <xf numFmtId="0" fontId="0" fillId="0" borderId="0" xfId="0" applyFont="1" applyFill="1" applyAlignment="1">
      <alignment/>
    </xf>
    <xf numFmtId="0" fontId="0" fillId="0" borderId="11" xfId="0" applyFont="1" applyFill="1" applyBorder="1" applyAlignment="1">
      <alignment/>
    </xf>
    <xf numFmtId="0" fontId="0" fillId="0" borderId="0" xfId="0" applyFont="1" applyAlignment="1">
      <alignment horizontal="center"/>
    </xf>
    <xf numFmtId="0" fontId="23" fillId="0" borderId="0" xfId="0" applyFont="1" applyFill="1" applyAlignment="1">
      <alignment horizontal="left" wrapText="1"/>
    </xf>
    <xf numFmtId="0" fontId="0" fillId="0" borderId="0" xfId="0" applyFont="1" applyAlignment="1">
      <alignment horizontal="center" wrapText="1"/>
    </xf>
    <xf numFmtId="0" fontId="0" fillId="0" borderId="0" xfId="0" applyFont="1" applyFill="1" applyBorder="1" applyAlignment="1">
      <alignment/>
    </xf>
    <xf numFmtId="0" fontId="23" fillId="0" borderId="0" xfId="0" applyFont="1" applyFill="1" applyAlignment="1">
      <alignment wrapText="1"/>
    </xf>
    <xf numFmtId="0" fontId="23" fillId="0" borderId="11" xfId="0" applyFont="1" applyFill="1" applyBorder="1" applyAlignment="1">
      <alignment wrapText="1"/>
    </xf>
    <xf numFmtId="0" fontId="23" fillId="0" borderId="0" xfId="0" applyFont="1" applyFill="1" applyBorder="1" applyAlignment="1">
      <alignment wrapText="1"/>
    </xf>
    <xf numFmtId="0" fontId="20" fillId="0" borderId="0" xfId="0" applyFont="1" applyFill="1" applyBorder="1" applyAlignment="1" applyProtection="1">
      <alignment horizontal="left" wrapText="1"/>
      <protection locked="0"/>
    </xf>
    <xf numFmtId="0" fontId="6" fillId="34" borderId="11" xfId="0" applyFont="1" applyFill="1" applyBorder="1" applyAlignment="1" applyProtection="1">
      <alignment wrapText="1"/>
      <protection locked="0"/>
    </xf>
    <xf numFmtId="0" fontId="6" fillId="34" borderId="0" xfId="0" applyFont="1" applyFill="1" applyAlignment="1" applyProtection="1">
      <alignment wrapText="1"/>
      <protection locked="0"/>
    </xf>
    <xf numFmtId="38" fontId="0" fillId="34" borderId="0" xfId="0" applyNumberFormat="1" applyFont="1" applyFill="1" applyAlignment="1">
      <alignment/>
    </xf>
    <xf numFmtId="0" fontId="6" fillId="34" borderId="0" xfId="0" applyFont="1" applyFill="1" applyBorder="1" applyAlignment="1" applyProtection="1">
      <alignment wrapText="1"/>
      <protection locked="0"/>
    </xf>
    <xf numFmtId="189" fontId="0" fillId="0" borderId="0" xfId="0" applyNumberFormat="1" applyFill="1" applyBorder="1" applyAlignment="1">
      <alignment/>
    </xf>
    <xf numFmtId="0" fontId="9" fillId="0" borderId="11" xfId="0" applyFont="1" applyBorder="1" applyAlignment="1" applyProtection="1">
      <alignment horizontal="right" vertical="center" wrapText="1"/>
      <protection locked="0"/>
    </xf>
    <xf numFmtId="0" fontId="9" fillId="0" borderId="11" xfId="0" applyFont="1" applyBorder="1" applyAlignment="1" applyProtection="1">
      <alignment horizontal="center" vertical="center" wrapText="1"/>
      <protection locked="0"/>
    </xf>
    <xf numFmtId="0" fontId="23" fillId="0" borderId="14" xfId="0" applyFont="1" applyBorder="1" applyAlignment="1">
      <alignment horizontal="left" vertical="top" wrapText="1" indent="1"/>
    </xf>
    <xf numFmtId="0" fontId="23" fillId="0" borderId="14" xfId="0" applyFont="1" applyBorder="1" applyAlignment="1">
      <alignment horizontal="left" vertical="center" wrapText="1" indent="1"/>
    </xf>
    <xf numFmtId="0" fontId="30" fillId="0" borderId="0" xfId="0" applyFont="1" applyBorder="1" applyAlignment="1">
      <alignment vertical="top" wrapText="1"/>
    </xf>
    <xf numFmtId="0" fontId="23" fillId="0" borderId="0" xfId="0" applyFont="1" applyBorder="1" applyAlignment="1">
      <alignment/>
    </xf>
    <xf numFmtId="0" fontId="3" fillId="0" borderId="0" xfId="0" applyFont="1" applyAlignment="1" applyProtection="1">
      <alignment horizontal="right" vertical="center"/>
      <protection locked="0"/>
    </xf>
    <xf numFmtId="0" fontId="0" fillId="0" borderId="0" xfId="0" applyFont="1" applyAlignment="1" applyProtection="1">
      <alignment vertical="center"/>
      <protection locked="0"/>
    </xf>
    <xf numFmtId="0" fontId="3" fillId="0" borderId="0" xfId="0" applyFont="1" applyBorder="1" applyAlignment="1" applyProtection="1">
      <alignment horizontal="right" vertical="center"/>
      <protection locked="0"/>
    </xf>
    <xf numFmtId="0" fontId="0" fillId="0" borderId="0" xfId="0" applyFont="1" applyFill="1" applyAlignment="1" applyProtection="1">
      <alignment vertical="center"/>
      <protection locked="0"/>
    </xf>
    <xf numFmtId="0" fontId="0" fillId="0" borderId="0" xfId="0" applyAlignment="1">
      <alignment vertical="center"/>
    </xf>
    <xf numFmtId="0" fontId="0" fillId="0" borderId="0" xfId="0" applyAlignment="1">
      <alignment horizontal="right" vertical="center"/>
    </xf>
    <xf numFmtId="0" fontId="9" fillId="0" borderId="11" xfId="0" applyFont="1" applyBorder="1" applyAlignment="1" applyProtection="1">
      <alignment horizontal="left" vertical="center" wrapText="1"/>
      <protection locked="0"/>
    </xf>
    <xf numFmtId="0" fontId="20" fillId="0" borderId="10"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3" fillId="0" borderId="14" xfId="0" applyFont="1" applyFill="1" applyBorder="1" applyAlignment="1">
      <alignment horizontal="left" vertical="center" wrapText="1"/>
    </xf>
    <xf numFmtId="189" fontId="0" fillId="0" borderId="19" xfId="0" applyNumberFormat="1" applyFont="1" applyFill="1" applyBorder="1" applyAlignment="1" applyProtection="1">
      <alignment vertical="center" wrapText="1"/>
      <protection locked="0"/>
    </xf>
    <xf numFmtId="189" fontId="0" fillId="0" borderId="19" xfId="0" applyNumberFormat="1" applyBorder="1" applyAlignment="1">
      <alignment vertical="center"/>
    </xf>
    <xf numFmtId="0" fontId="3" fillId="0" borderId="22" xfId="0" applyFont="1" applyBorder="1" applyAlignment="1" applyProtection="1">
      <alignment vertical="center" wrapText="1"/>
      <protection locked="0"/>
    </xf>
    <xf numFmtId="0" fontId="23" fillId="0" borderId="22" xfId="0" applyFont="1" applyFill="1" applyBorder="1" applyAlignment="1">
      <alignment horizontal="left" vertical="center" wrapText="1"/>
    </xf>
    <xf numFmtId="189" fontId="0" fillId="0" borderId="23" xfId="0" applyNumberFormat="1" applyBorder="1" applyAlignment="1">
      <alignment vertical="center"/>
    </xf>
    <xf numFmtId="0" fontId="3" fillId="0" borderId="16" xfId="0" applyFont="1" applyBorder="1" applyAlignment="1" applyProtection="1">
      <alignment vertical="center" wrapText="1"/>
      <protection locked="0"/>
    </xf>
    <xf numFmtId="0" fontId="23" fillId="0" borderId="16" xfId="0" applyFont="1" applyFill="1" applyBorder="1" applyAlignment="1">
      <alignment horizontal="left" vertical="center" wrapText="1"/>
    </xf>
    <xf numFmtId="189" fontId="0" fillId="0" borderId="24" xfId="0" applyNumberFormat="1" applyBorder="1" applyAlignment="1">
      <alignment vertical="center"/>
    </xf>
    <xf numFmtId="0" fontId="3" fillId="0" borderId="14" xfId="0" applyFont="1" applyBorder="1" applyAlignment="1" applyProtection="1">
      <alignment horizontal="right" vertical="center" wrapText="1"/>
      <protection locked="0"/>
    </xf>
    <xf numFmtId="0" fontId="20" fillId="0" borderId="0" xfId="0" applyFont="1" applyBorder="1" applyAlignment="1" applyProtection="1">
      <alignment horizontal="right" vertical="center"/>
      <protection locked="0"/>
    </xf>
    <xf numFmtId="0" fontId="20" fillId="0" borderId="12" xfId="0" applyFont="1" applyBorder="1" applyAlignment="1" applyProtection="1">
      <alignment horizontal="right" vertical="center"/>
      <protection locked="0"/>
    </xf>
    <xf numFmtId="0" fontId="0" fillId="0" borderId="0" xfId="0" applyFont="1" applyFill="1" applyAlignment="1">
      <alignment/>
    </xf>
    <xf numFmtId="38" fontId="6" fillId="0" borderId="0" xfId="0" applyNumberFormat="1" applyFont="1" applyFill="1" applyBorder="1" applyAlignment="1" applyProtection="1">
      <alignment wrapText="1"/>
      <protection locked="0"/>
    </xf>
    <xf numFmtId="38" fontId="6" fillId="36" borderId="0" xfId="0" applyNumberFormat="1" applyFont="1" applyFill="1" applyBorder="1" applyAlignment="1" applyProtection="1">
      <alignment wrapText="1"/>
      <protection locked="0"/>
    </xf>
    <xf numFmtId="40" fontId="6" fillId="0" borderId="0" xfId="0" applyNumberFormat="1" applyFont="1" applyFill="1" applyBorder="1" applyAlignment="1" applyProtection="1">
      <alignment wrapText="1"/>
      <protection locked="0"/>
    </xf>
    <xf numFmtId="0" fontId="1" fillId="0" borderId="11" xfId="0" applyFont="1" applyFill="1" applyBorder="1" applyAlignment="1" applyProtection="1">
      <alignment/>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0" fillId="36" borderId="19" xfId="0" applyFont="1" applyFill="1" applyBorder="1" applyAlignment="1">
      <alignment horizontal="left" wrapText="1"/>
    </xf>
    <xf numFmtId="0" fontId="18" fillId="0" borderId="0" xfId="0" applyFont="1" applyAlignment="1">
      <alignment horizontal="left" vertical="top" wrapText="1"/>
    </xf>
    <xf numFmtId="0" fontId="17" fillId="0" borderId="17" xfId="0" applyFont="1" applyBorder="1" applyAlignment="1">
      <alignment horizontal="left"/>
    </xf>
    <xf numFmtId="0" fontId="0" fillId="0" borderId="0" xfId="0" applyBorder="1" applyAlignment="1">
      <alignment horizontal="center"/>
    </xf>
    <xf numFmtId="0" fontId="18" fillId="0" borderId="0" xfId="0" applyFont="1" applyFill="1" applyAlignment="1">
      <alignment horizontal="left" vertical="top" wrapText="1" indent="1"/>
    </xf>
    <xf numFmtId="0" fontId="1" fillId="0" borderId="0" xfId="0" applyFont="1" applyFill="1" applyAlignment="1">
      <alignment horizontal="left" vertical="top" wrapText="1" indent="1"/>
    </xf>
    <xf numFmtId="0" fontId="18" fillId="0" borderId="0" xfId="0" applyFont="1" applyAlignment="1">
      <alignment horizontal="left" vertical="top" wrapText="1" indent="1"/>
    </xf>
    <xf numFmtId="0" fontId="1" fillId="0" borderId="0" xfId="0" applyFont="1" applyAlignment="1">
      <alignment horizontal="left" vertical="top" wrapText="1" indent="1"/>
    </xf>
    <xf numFmtId="0" fontId="7" fillId="0" borderId="0" xfId="0" applyFont="1" applyFill="1" applyAlignment="1">
      <alignment horizontal="left" vertical="top" wrapText="1" indent="1"/>
    </xf>
    <xf numFmtId="0" fontId="18" fillId="0" borderId="0" xfId="0" applyFont="1" applyAlignment="1">
      <alignment horizontal="left" indent="1"/>
    </xf>
    <xf numFmtId="0" fontId="1" fillId="0" borderId="0" xfId="0" applyFont="1" applyAlignment="1">
      <alignment horizontal="left" indent="1"/>
    </xf>
    <xf numFmtId="0" fontId="18" fillId="0" borderId="0" xfId="0" applyFont="1" applyFill="1" applyBorder="1" applyAlignment="1">
      <alignment horizontal="left" wrapText="1"/>
    </xf>
    <xf numFmtId="0" fontId="18" fillId="0" borderId="0" xfId="0" applyFont="1" applyBorder="1" applyAlignment="1">
      <alignment horizontal="left" wrapText="1"/>
    </xf>
    <xf numFmtId="0" fontId="1" fillId="0" borderId="0" xfId="0" applyFont="1" applyBorder="1" applyAlignment="1">
      <alignment horizontal="left" wrapText="1"/>
    </xf>
    <xf numFmtId="0" fontId="18" fillId="0" borderId="0" xfId="0" applyFont="1" applyAlignment="1">
      <alignment horizontal="left" wrapText="1"/>
    </xf>
    <xf numFmtId="0" fontId="1" fillId="0" borderId="0" xfId="0" applyFont="1" applyAlignment="1">
      <alignment horizontal="left" wrapText="1"/>
    </xf>
    <xf numFmtId="0" fontId="0" fillId="0" borderId="12" xfId="0" applyBorder="1" applyAlignment="1">
      <alignment horizontal="center"/>
    </xf>
    <xf numFmtId="0" fontId="20" fillId="0" borderId="19"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23" fillId="0" borderId="14" xfId="0" applyFont="1" applyBorder="1" applyAlignment="1">
      <alignment vertical="center" wrapText="1"/>
    </xf>
    <xf numFmtId="0" fontId="0" fillId="0" borderId="12" xfId="0" applyFont="1" applyFill="1" applyBorder="1" applyAlignment="1" applyProtection="1">
      <alignment horizontal="left" vertical="center" wrapText="1"/>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5" fillId="0" borderId="0" xfId="0" applyFont="1" applyBorder="1" applyAlignment="1" applyProtection="1">
      <alignment wrapText="1"/>
      <protection locked="0"/>
    </xf>
    <xf numFmtId="0" fontId="4" fillId="0" borderId="12" xfId="0" applyFont="1" applyBorder="1" applyAlignment="1" applyProtection="1">
      <alignment horizontal="left" wrapText="1"/>
      <protection locked="0"/>
    </xf>
    <xf numFmtId="0" fontId="5" fillId="0" borderId="0" xfId="0" applyFont="1" applyAlignment="1" applyProtection="1">
      <alignment horizontal="left"/>
      <protection/>
    </xf>
    <xf numFmtId="0" fontId="4" fillId="0" borderId="12" xfId="0" applyFont="1" applyFill="1" applyBorder="1" applyAlignment="1" applyProtection="1">
      <alignment horizontal="left" wrapText="1"/>
      <protection locked="0"/>
    </xf>
    <xf numFmtId="0" fontId="5" fillId="0" borderId="0" xfId="0" applyFont="1" applyAlignment="1" applyProtection="1">
      <alignment wrapText="1"/>
      <protection locked="0"/>
    </xf>
    <xf numFmtId="0" fontId="5" fillId="0" borderId="0" xfId="0" applyFont="1" applyFill="1" applyAlignment="1" applyProtection="1">
      <alignment horizontal="left" wrapText="1"/>
      <protection locked="0"/>
    </xf>
    <xf numFmtId="0" fontId="4" fillId="0" borderId="12" xfId="0" applyFont="1" applyBorder="1" applyAlignment="1" applyProtection="1">
      <alignment horizontal="left"/>
      <protection locked="0"/>
    </xf>
    <xf numFmtId="0" fontId="6" fillId="0" borderId="0" xfId="0" applyFont="1" applyAlignment="1" applyProtection="1">
      <alignment horizontal="left" wrapText="1"/>
      <protection locked="0"/>
    </xf>
    <xf numFmtId="0" fontId="6" fillId="0" borderId="0" xfId="0" applyFont="1" applyAlignment="1">
      <alignment horizontal="left" wrapText="1"/>
    </xf>
    <xf numFmtId="0" fontId="6" fillId="0" borderId="18"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1219200</xdr:colOff>
      <xdr:row>0</xdr:row>
      <xdr:rowOff>38100</xdr:rowOff>
    </xdr:from>
    <xdr:to>
      <xdr:col>5</xdr:col>
      <xdr:colOff>457200</xdr:colOff>
      <xdr:row>2</xdr:row>
      <xdr:rowOff>200025</xdr:rowOff>
    </xdr:to>
    <xdr:pic>
      <xdr:nvPicPr>
        <xdr:cNvPr id="1" name="Picture 1" descr="GatesLogoSmall"/>
        <xdr:cNvPicPr preferRelativeResize="1">
          <a:picLocks noChangeAspect="1"/>
        </xdr:cNvPicPr>
      </xdr:nvPicPr>
      <xdr:blipFill>
        <a:blip r:embed="rId1"/>
        <a:stretch>
          <a:fillRect/>
        </a:stretch>
      </xdr:blipFill>
      <xdr:spPr>
        <a:xfrm>
          <a:off x="5762625" y="38100"/>
          <a:ext cx="21240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0</xdr:row>
      <xdr:rowOff>9525</xdr:rowOff>
    </xdr:from>
    <xdr:to>
      <xdr:col>8</xdr:col>
      <xdr:colOff>28575</xdr:colOff>
      <xdr:row>2</xdr:row>
      <xdr:rowOff>28575</xdr:rowOff>
    </xdr:to>
    <xdr:pic>
      <xdr:nvPicPr>
        <xdr:cNvPr id="1" name="Picture 1" descr="GatesLogoSmall"/>
        <xdr:cNvPicPr preferRelativeResize="1">
          <a:picLocks noChangeAspect="1"/>
        </xdr:cNvPicPr>
      </xdr:nvPicPr>
      <xdr:blipFill>
        <a:blip r:embed="rId1"/>
        <a:stretch>
          <a:fillRect/>
        </a:stretch>
      </xdr:blipFill>
      <xdr:spPr>
        <a:xfrm>
          <a:off x="5000625" y="9525"/>
          <a:ext cx="2124075" cy="476250"/>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2" name="Picture 2" descr="GatesLogoSmall"/>
        <xdr:cNvPicPr preferRelativeResize="1">
          <a:picLocks noChangeAspect="1"/>
        </xdr:cNvPicPr>
      </xdr:nvPicPr>
      <xdr:blipFill>
        <a:blip r:embed="rId1"/>
        <a:stretch>
          <a:fillRect/>
        </a:stretch>
      </xdr:blipFill>
      <xdr:spPr>
        <a:xfrm>
          <a:off x="5000625" y="9525"/>
          <a:ext cx="212407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0</xdr:row>
      <xdr:rowOff>9525</xdr:rowOff>
    </xdr:from>
    <xdr:to>
      <xdr:col>8</xdr:col>
      <xdr:colOff>28575</xdr:colOff>
      <xdr:row>2</xdr:row>
      <xdr:rowOff>28575</xdr:rowOff>
    </xdr:to>
    <xdr:pic>
      <xdr:nvPicPr>
        <xdr:cNvPr id="1" name="Picture 1" descr="GatesLogoSmall"/>
        <xdr:cNvPicPr preferRelativeResize="1">
          <a:picLocks noChangeAspect="1"/>
        </xdr:cNvPicPr>
      </xdr:nvPicPr>
      <xdr:blipFill>
        <a:blip r:embed="rId1"/>
        <a:stretch>
          <a:fillRect/>
        </a:stretch>
      </xdr:blipFill>
      <xdr:spPr>
        <a:xfrm>
          <a:off x="5000625" y="9525"/>
          <a:ext cx="2124075" cy="476250"/>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2" name="Picture 2" descr="GatesLogoSmall"/>
        <xdr:cNvPicPr preferRelativeResize="1">
          <a:picLocks noChangeAspect="1"/>
        </xdr:cNvPicPr>
      </xdr:nvPicPr>
      <xdr:blipFill>
        <a:blip r:embed="rId1"/>
        <a:stretch>
          <a:fillRect/>
        </a:stretch>
      </xdr:blipFill>
      <xdr:spPr>
        <a:xfrm>
          <a:off x="5000625" y="9525"/>
          <a:ext cx="2124075" cy="4762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0</xdr:row>
      <xdr:rowOff>9525</xdr:rowOff>
    </xdr:from>
    <xdr:to>
      <xdr:col>8</xdr:col>
      <xdr:colOff>28575</xdr:colOff>
      <xdr:row>2</xdr:row>
      <xdr:rowOff>28575</xdr:rowOff>
    </xdr:to>
    <xdr:pic>
      <xdr:nvPicPr>
        <xdr:cNvPr id="1" name="Picture 1" descr="GatesLogoSmall"/>
        <xdr:cNvPicPr preferRelativeResize="1">
          <a:picLocks noChangeAspect="1"/>
        </xdr:cNvPicPr>
      </xdr:nvPicPr>
      <xdr:blipFill>
        <a:blip r:embed="rId1"/>
        <a:stretch>
          <a:fillRect/>
        </a:stretch>
      </xdr:blipFill>
      <xdr:spPr>
        <a:xfrm>
          <a:off x="5000625" y="9525"/>
          <a:ext cx="2124075" cy="476250"/>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2" name="Picture 2" descr="GatesLogoSmall"/>
        <xdr:cNvPicPr preferRelativeResize="1">
          <a:picLocks noChangeAspect="1"/>
        </xdr:cNvPicPr>
      </xdr:nvPicPr>
      <xdr:blipFill>
        <a:blip r:embed="rId1"/>
        <a:stretch>
          <a:fillRect/>
        </a:stretch>
      </xdr:blipFill>
      <xdr:spPr>
        <a:xfrm>
          <a:off x="5000625" y="9525"/>
          <a:ext cx="2124075" cy="4762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133350</xdr:colOff>
      <xdr:row>0</xdr:row>
      <xdr:rowOff>28575</xdr:rowOff>
    </xdr:from>
    <xdr:to>
      <xdr:col>8</xdr:col>
      <xdr:colOff>2266950</xdr:colOff>
      <xdr:row>2</xdr:row>
      <xdr:rowOff>47625</xdr:rowOff>
    </xdr:to>
    <xdr:pic>
      <xdr:nvPicPr>
        <xdr:cNvPr id="1" name="Picture 13" descr="GatesLogoSmall"/>
        <xdr:cNvPicPr preferRelativeResize="1">
          <a:picLocks noChangeAspect="1"/>
        </xdr:cNvPicPr>
      </xdr:nvPicPr>
      <xdr:blipFill>
        <a:blip r:embed="rId1"/>
        <a:stretch>
          <a:fillRect/>
        </a:stretch>
      </xdr:blipFill>
      <xdr:spPr>
        <a:xfrm>
          <a:off x="7143750" y="28575"/>
          <a:ext cx="2133600" cy="476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0</xdr:row>
      <xdr:rowOff>57150</xdr:rowOff>
    </xdr:from>
    <xdr:to>
      <xdr:col>9</xdr:col>
      <xdr:colOff>228600</xdr:colOff>
      <xdr:row>2</xdr:row>
      <xdr:rowOff>47625</xdr:rowOff>
    </xdr:to>
    <xdr:pic>
      <xdr:nvPicPr>
        <xdr:cNvPr id="1" name="Picture 10" descr="GatesLogoSmall"/>
        <xdr:cNvPicPr preferRelativeResize="1">
          <a:picLocks noChangeAspect="1"/>
        </xdr:cNvPicPr>
      </xdr:nvPicPr>
      <xdr:blipFill>
        <a:blip r:embed="rId1"/>
        <a:stretch>
          <a:fillRect/>
        </a:stretch>
      </xdr:blipFill>
      <xdr:spPr>
        <a:xfrm>
          <a:off x="7038975" y="57150"/>
          <a:ext cx="2114550" cy="447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0</xdr:row>
      <xdr:rowOff>57150</xdr:rowOff>
    </xdr:from>
    <xdr:to>
      <xdr:col>9</xdr:col>
      <xdr:colOff>57150</xdr:colOff>
      <xdr:row>2</xdr:row>
      <xdr:rowOff>47625</xdr:rowOff>
    </xdr:to>
    <xdr:pic>
      <xdr:nvPicPr>
        <xdr:cNvPr id="1" name="Picture 2" descr="GatesLogoSmall"/>
        <xdr:cNvPicPr preferRelativeResize="1">
          <a:picLocks noChangeAspect="1"/>
        </xdr:cNvPicPr>
      </xdr:nvPicPr>
      <xdr:blipFill>
        <a:blip r:embed="rId1"/>
        <a:stretch>
          <a:fillRect/>
        </a:stretch>
      </xdr:blipFill>
      <xdr:spPr>
        <a:xfrm>
          <a:off x="7058025" y="57150"/>
          <a:ext cx="2124075" cy="447675"/>
        </a:xfrm>
        <a:prstGeom prst="rect">
          <a:avLst/>
        </a:prstGeom>
        <a:noFill/>
        <a:ln w="9525" cmpd="sng">
          <a:noFill/>
        </a:ln>
      </xdr:spPr>
    </xdr:pic>
    <xdr:clientData/>
  </xdr:twoCellAnchor>
  <xdr:twoCellAnchor editAs="oneCell">
    <xdr:from>
      <xdr:col>8</xdr:col>
      <xdr:colOff>19050</xdr:colOff>
      <xdr:row>0</xdr:row>
      <xdr:rowOff>66675</xdr:rowOff>
    </xdr:from>
    <xdr:to>
      <xdr:col>9</xdr:col>
      <xdr:colOff>76200</xdr:colOff>
      <xdr:row>2</xdr:row>
      <xdr:rowOff>76200</xdr:rowOff>
    </xdr:to>
    <xdr:pic>
      <xdr:nvPicPr>
        <xdr:cNvPr id="2" name="Picture 16" descr="GatesLogoSmall"/>
        <xdr:cNvPicPr preferRelativeResize="1">
          <a:picLocks noChangeAspect="1"/>
        </xdr:cNvPicPr>
      </xdr:nvPicPr>
      <xdr:blipFill>
        <a:blip r:embed="rId1"/>
        <a:stretch>
          <a:fillRect/>
        </a:stretch>
      </xdr:blipFill>
      <xdr:spPr>
        <a:xfrm>
          <a:off x="7077075" y="66675"/>
          <a:ext cx="2124075"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0</xdr:row>
      <xdr:rowOff>9525</xdr:rowOff>
    </xdr:from>
    <xdr:to>
      <xdr:col>8</xdr:col>
      <xdr:colOff>28575</xdr:colOff>
      <xdr:row>2</xdr:row>
      <xdr:rowOff>28575</xdr:rowOff>
    </xdr:to>
    <xdr:pic>
      <xdr:nvPicPr>
        <xdr:cNvPr id="1" name="Picture 1" descr="GatesLogoSmall"/>
        <xdr:cNvPicPr preferRelativeResize="1">
          <a:picLocks noChangeAspect="1"/>
        </xdr:cNvPicPr>
      </xdr:nvPicPr>
      <xdr:blipFill>
        <a:blip r:embed="rId1"/>
        <a:stretch>
          <a:fillRect/>
        </a:stretch>
      </xdr:blipFill>
      <xdr:spPr>
        <a:xfrm>
          <a:off x="4991100" y="9525"/>
          <a:ext cx="2114550" cy="476250"/>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2" name="Picture 2" descr="GatesLogoSmall"/>
        <xdr:cNvPicPr preferRelativeResize="1">
          <a:picLocks noChangeAspect="1"/>
        </xdr:cNvPicPr>
      </xdr:nvPicPr>
      <xdr:blipFill>
        <a:blip r:embed="rId1"/>
        <a:stretch>
          <a:fillRect/>
        </a:stretch>
      </xdr:blipFill>
      <xdr:spPr>
        <a:xfrm>
          <a:off x="4991100" y="9525"/>
          <a:ext cx="2114550" cy="476250"/>
        </a:xfrm>
        <a:prstGeom prst="rect">
          <a:avLst/>
        </a:prstGeom>
        <a:noFill/>
        <a:ln w="9525" cmpd="sng">
          <a:noFill/>
        </a:ln>
      </xdr:spPr>
    </xdr:pic>
    <xdr:clientData/>
  </xdr:twoCellAnchor>
  <xdr:twoCellAnchor editAs="oneCell">
    <xdr:from>
      <xdr:col>7</xdr:col>
      <xdr:colOff>142875</xdr:colOff>
      <xdr:row>0</xdr:row>
      <xdr:rowOff>123825</xdr:rowOff>
    </xdr:from>
    <xdr:to>
      <xdr:col>8</xdr:col>
      <xdr:colOff>2124075</xdr:colOff>
      <xdr:row>2</xdr:row>
      <xdr:rowOff>114300</xdr:rowOff>
    </xdr:to>
    <xdr:pic>
      <xdr:nvPicPr>
        <xdr:cNvPr id="3" name="Picture 13" descr="GatesLogoSmall"/>
        <xdr:cNvPicPr preferRelativeResize="1">
          <a:picLocks noChangeAspect="1"/>
        </xdr:cNvPicPr>
      </xdr:nvPicPr>
      <xdr:blipFill>
        <a:blip r:embed="rId1"/>
        <a:stretch>
          <a:fillRect/>
        </a:stretch>
      </xdr:blipFill>
      <xdr:spPr>
        <a:xfrm>
          <a:off x="7077075" y="123825"/>
          <a:ext cx="2124075" cy="4476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123825</xdr:rowOff>
    </xdr:from>
    <xdr:to>
      <xdr:col>9</xdr:col>
      <xdr:colOff>38100</xdr:colOff>
      <xdr:row>2</xdr:row>
      <xdr:rowOff>114300</xdr:rowOff>
    </xdr:to>
    <xdr:pic>
      <xdr:nvPicPr>
        <xdr:cNvPr id="1" name="Picture 2" descr="GatesLogoSmall"/>
        <xdr:cNvPicPr preferRelativeResize="1">
          <a:picLocks noChangeAspect="1"/>
        </xdr:cNvPicPr>
      </xdr:nvPicPr>
      <xdr:blipFill>
        <a:blip r:embed="rId1"/>
        <a:stretch>
          <a:fillRect/>
        </a:stretch>
      </xdr:blipFill>
      <xdr:spPr>
        <a:xfrm>
          <a:off x="7115175" y="123825"/>
          <a:ext cx="2124075" cy="447675"/>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2" name="Picture 17" descr="GatesLogoSmall"/>
        <xdr:cNvPicPr preferRelativeResize="1">
          <a:picLocks noChangeAspect="1"/>
        </xdr:cNvPicPr>
      </xdr:nvPicPr>
      <xdr:blipFill>
        <a:blip r:embed="rId1"/>
        <a:stretch>
          <a:fillRect/>
        </a:stretch>
      </xdr:blipFill>
      <xdr:spPr>
        <a:xfrm>
          <a:off x="5029200" y="9525"/>
          <a:ext cx="2114550" cy="476250"/>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3" name="Picture 18" descr="GatesLogoSmall"/>
        <xdr:cNvPicPr preferRelativeResize="1">
          <a:picLocks noChangeAspect="1"/>
        </xdr:cNvPicPr>
      </xdr:nvPicPr>
      <xdr:blipFill>
        <a:blip r:embed="rId1"/>
        <a:stretch>
          <a:fillRect/>
        </a:stretch>
      </xdr:blipFill>
      <xdr:spPr>
        <a:xfrm>
          <a:off x="5029200" y="9525"/>
          <a:ext cx="2114550" cy="4762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0</xdr:row>
      <xdr:rowOff>9525</xdr:rowOff>
    </xdr:from>
    <xdr:to>
      <xdr:col>8</xdr:col>
      <xdr:colOff>28575</xdr:colOff>
      <xdr:row>2</xdr:row>
      <xdr:rowOff>28575</xdr:rowOff>
    </xdr:to>
    <xdr:pic>
      <xdr:nvPicPr>
        <xdr:cNvPr id="1" name="Picture 1" descr="GatesLogoSmall"/>
        <xdr:cNvPicPr preferRelativeResize="1">
          <a:picLocks noChangeAspect="1"/>
        </xdr:cNvPicPr>
      </xdr:nvPicPr>
      <xdr:blipFill>
        <a:blip r:embed="rId1"/>
        <a:stretch>
          <a:fillRect/>
        </a:stretch>
      </xdr:blipFill>
      <xdr:spPr>
        <a:xfrm>
          <a:off x="4972050" y="9525"/>
          <a:ext cx="2114550" cy="476250"/>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2" name="Picture 2" descr="GatesLogoSmall"/>
        <xdr:cNvPicPr preferRelativeResize="1">
          <a:picLocks noChangeAspect="1"/>
        </xdr:cNvPicPr>
      </xdr:nvPicPr>
      <xdr:blipFill>
        <a:blip r:embed="rId1"/>
        <a:stretch>
          <a:fillRect/>
        </a:stretch>
      </xdr:blipFill>
      <xdr:spPr>
        <a:xfrm>
          <a:off x="4972050" y="9525"/>
          <a:ext cx="2114550" cy="476250"/>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3" name="Picture 12" descr="GatesLogoSmall"/>
        <xdr:cNvPicPr preferRelativeResize="1">
          <a:picLocks noChangeAspect="1"/>
        </xdr:cNvPicPr>
      </xdr:nvPicPr>
      <xdr:blipFill>
        <a:blip r:embed="rId1"/>
        <a:stretch>
          <a:fillRect/>
        </a:stretch>
      </xdr:blipFill>
      <xdr:spPr>
        <a:xfrm>
          <a:off x="4972050" y="9525"/>
          <a:ext cx="2114550" cy="476250"/>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4" name="Picture 13" descr="GatesLogoSmall"/>
        <xdr:cNvPicPr preferRelativeResize="1">
          <a:picLocks noChangeAspect="1"/>
        </xdr:cNvPicPr>
      </xdr:nvPicPr>
      <xdr:blipFill>
        <a:blip r:embed="rId1"/>
        <a:stretch>
          <a:fillRect/>
        </a:stretch>
      </xdr:blipFill>
      <xdr:spPr>
        <a:xfrm>
          <a:off x="4972050" y="9525"/>
          <a:ext cx="2114550" cy="4762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171450</xdr:rowOff>
    </xdr:from>
    <xdr:to>
      <xdr:col>10</xdr:col>
      <xdr:colOff>200025</xdr:colOff>
      <xdr:row>2</xdr:row>
      <xdr:rowOff>190500</xdr:rowOff>
    </xdr:to>
    <xdr:pic>
      <xdr:nvPicPr>
        <xdr:cNvPr id="1" name="Picture 1" descr="GatesLogoSmall"/>
        <xdr:cNvPicPr preferRelativeResize="1">
          <a:picLocks noChangeAspect="1"/>
        </xdr:cNvPicPr>
      </xdr:nvPicPr>
      <xdr:blipFill>
        <a:blip r:embed="rId1"/>
        <a:stretch>
          <a:fillRect/>
        </a:stretch>
      </xdr:blipFill>
      <xdr:spPr>
        <a:xfrm>
          <a:off x="8848725" y="171450"/>
          <a:ext cx="21336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38100</xdr:rowOff>
    </xdr:from>
    <xdr:to>
      <xdr:col>5</xdr:col>
      <xdr:colOff>914400</xdr:colOff>
      <xdr:row>3</xdr:row>
      <xdr:rowOff>152400</xdr:rowOff>
    </xdr:to>
    <xdr:pic>
      <xdr:nvPicPr>
        <xdr:cNvPr id="1" name="Picture 1" descr="GatesLogoSmall"/>
        <xdr:cNvPicPr preferRelativeResize="1">
          <a:picLocks noChangeAspect="1"/>
        </xdr:cNvPicPr>
      </xdr:nvPicPr>
      <xdr:blipFill>
        <a:blip r:embed="rId1"/>
        <a:stretch>
          <a:fillRect/>
        </a:stretch>
      </xdr:blipFill>
      <xdr:spPr>
        <a:xfrm>
          <a:off x="8277225" y="38100"/>
          <a:ext cx="21336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9525</xdr:rowOff>
    </xdr:from>
    <xdr:to>
      <xdr:col>3</xdr:col>
      <xdr:colOff>2124075</xdr:colOff>
      <xdr:row>1</xdr:row>
      <xdr:rowOff>266700</xdr:rowOff>
    </xdr:to>
    <xdr:pic>
      <xdr:nvPicPr>
        <xdr:cNvPr id="1" name="Picture 1" descr="GatesLogoSmall"/>
        <xdr:cNvPicPr preferRelativeResize="1">
          <a:picLocks noChangeAspect="1"/>
        </xdr:cNvPicPr>
      </xdr:nvPicPr>
      <xdr:blipFill>
        <a:blip r:embed="rId1"/>
        <a:stretch>
          <a:fillRect/>
        </a:stretch>
      </xdr:blipFill>
      <xdr:spPr>
        <a:xfrm>
          <a:off x="5800725" y="9525"/>
          <a:ext cx="212407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28575</xdr:rowOff>
    </xdr:from>
    <xdr:to>
      <xdr:col>8</xdr:col>
      <xdr:colOff>2209800</xdr:colOff>
      <xdr:row>1</xdr:row>
      <xdr:rowOff>266700</xdr:rowOff>
    </xdr:to>
    <xdr:pic>
      <xdr:nvPicPr>
        <xdr:cNvPr id="1" name="Picture 1" descr="GatesLogoSmall"/>
        <xdr:cNvPicPr preferRelativeResize="1">
          <a:picLocks noChangeAspect="1"/>
        </xdr:cNvPicPr>
      </xdr:nvPicPr>
      <xdr:blipFill>
        <a:blip r:embed="rId1"/>
        <a:stretch>
          <a:fillRect/>
        </a:stretch>
      </xdr:blipFill>
      <xdr:spPr>
        <a:xfrm>
          <a:off x="7077075" y="28575"/>
          <a:ext cx="212407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533400</xdr:colOff>
      <xdr:row>0</xdr:row>
      <xdr:rowOff>57150</xdr:rowOff>
    </xdr:from>
    <xdr:to>
      <xdr:col>8</xdr:col>
      <xdr:colOff>1847850</xdr:colOff>
      <xdr:row>1</xdr:row>
      <xdr:rowOff>276225</xdr:rowOff>
    </xdr:to>
    <xdr:pic>
      <xdr:nvPicPr>
        <xdr:cNvPr id="1" name="Picture 1" descr="GatesLogoSmall"/>
        <xdr:cNvPicPr preferRelativeResize="1">
          <a:picLocks noChangeAspect="1"/>
        </xdr:cNvPicPr>
      </xdr:nvPicPr>
      <xdr:blipFill>
        <a:blip r:embed="rId1"/>
        <a:stretch>
          <a:fillRect/>
        </a:stretch>
      </xdr:blipFill>
      <xdr:spPr>
        <a:xfrm>
          <a:off x="6829425" y="57150"/>
          <a:ext cx="21145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0</xdr:row>
      <xdr:rowOff>9525</xdr:rowOff>
    </xdr:from>
    <xdr:to>
      <xdr:col>7</xdr:col>
      <xdr:colOff>28575</xdr:colOff>
      <xdr:row>2</xdr:row>
      <xdr:rowOff>57150</xdr:rowOff>
    </xdr:to>
    <xdr:pic>
      <xdr:nvPicPr>
        <xdr:cNvPr id="1" name="Picture 1" descr="GatesLogoSmall"/>
        <xdr:cNvPicPr preferRelativeResize="1">
          <a:picLocks noChangeAspect="1"/>
        </xdr:cNvPicPr>
      </xdr:nvPicPr>
      <xdr:blipFill>
        <a:blip r:embed="rId1"/>
        <a:stretch>
          <a:fillRect/>
        </a:stretch>
      </xdr:blipFill>
      <xdr:spPr>
        <a:xfrm>
          <a:off x="5086350" y="9525"/>
          <a:ext cx="2124075"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8</xdr:col>
      <xdr:colOff>2390775</xdr:colOff>
      <xdr:row>2</xdr:row>
      <xdr:rowOff>0</xdr:rowOff>
    </xdr:to>
    <xdr:pic>
      <xdr:nvPicPr>
        <xdr:cNvPr id="1" name="Picture 1" descr="GatesLogoSmall"/>
        <xdr:cNvPicPr preferRelativeResize="1">
          <a:picLocks noChangeAspect="1"/>
        </xdr:cNvPicPr>
      </xdr:nvPicPr>
      <xdr:blipFill>
        <a:blip r:embed="rId1"/>
        <a:stretch>
          <a:fillRect/>
        </a:stretch>
      </xdr:blipFill>
      <xdr:spPr>
        <a:xfrm>
          <a:off x="7620000" y="0"/>
          <a:ext cx="213360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0</xdr:row>
      <xdr:rowOff>152400</xdr:rowOff>
    </xdr:from>
    <xdr:to>
      <xdr:col>8</xdr:col>
      <xdr:colOff>2266950</xdr:colOff>
      <xdr:row>2</xdr:row>
      <xdr:rowOff>142875</xdr:rowOff>
    </xdr:to>
    <xdr:pic>
      <xdr:nvPicPr>
        <xdr:cNvPr id="1" name="Picture 1" descr="GatesLogoSmall"/>
        <xdr:cNvPicPr preferRelativeResize="1">
          <a:picLocks noChangeAspect="1"/>
        </xdr:cNvPicPr>
      </xdr:nvPicPr>
      <xdr:blipFill>
        <a:blip r:embed="rId1"/>
        <a:stretch>
          <a:fillRect/>
        </a:stretch>
      </xdr:blipFill>
      <xdr:spPr>
        <a:xfrm>
          <a:off x="7143750" y="152400"/>
          <a:ext cx="2124075"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0</xdr:row>
      <xdr:rowOff>9525</xdr:rowOff>
    </xdr:from>
    <xdr:to>
      <xdr:col>8</xdr:col>
      <xdr:colOff>28575</xdr:colOff>
      <xdr:row>2</xdr:row>
      <xdr:rowOff>28575</xdr:rowOff>
    </xdr:to>
    <xdr:pic>
      <xdr:nvPicPr>
        <xdr:cNvPr id="1" name="Picture 2" descr="GatesLogoSmall"/>
        <xdr:cNvPicPr preferRelativeResize="1">
          <a:picLocks noChangeAspect="1"/>
        </xdr:cNvPicPr>
      </xdr:nvPicPr>
      <xdr:blipFill>
        <a:blip r:embed="rId1"/>
        <a:stretch>
          <a:fillRect/>
        </a:stretch>
      </xdr:blipFill>
      <xdr:spPr>
        <a:xfrm>
          <a:off x="5000625" y="9525"/>
          <a:ext cx="2124075" cy="476250"/>
        </a:xfrm>
        <a:prstGeom prst="rect">
          <a:avLst/>
        </a:prstGeom>
        <a:noFill/>
        <a:ln w="9525" cmpd="sng">
          <a:noFill/>
        </a:ln>
      </xdr:spPr>
    </xdr:pic>
    <xdr:clientData/>
  </xdr:twoCellAnchor>
  <xdr:twoCellAnchor editAs="oneCell">
    <xdr:from>
      <xdr:col>4</xdr:col>
      <xdr:colOff>304800</xdr:colOff>
      <xdr:row>0</xdr:row>
      <xdr:rowOff>9525</xdr:rowOff>
    </xdr:from>
    <xdr:to>
      <xdr:col>8</xdr:col>
      <xdr:colOff>28575</xdr:colOff>
      <xdr:row>2</xdr:row>
      <xdr:rowOff>28575</xdr:rowOff>
    </xdr:to>
    <xdr:pic>
      <xdr:nvPicPr>
        <xdr:cNvPr id="2" name="Picture 3" descr="GatesLogoSmall"/>
        <xdr:cNvPicPr preferRelativeResize="1">
          <a:picLocks noChangeAspect="1"/>
        </xdr:cNvPicPr>
      </xdr:nvPicPr>
      <xdr:blipFill>
        <a:blip r:embed="rId1"/>
        <a:stretch>
          <a:fillRect/>
        </a:stretch>
      </xdr:blipFill>
      <xdr:spPr>
        <a:xfrm>
          <a:off x="5000625" y="9525"/>
          <a:ext cx="21240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dianed\Local%20Settings\Temporary%20Internet%20Files\OLK1D3\Back%20up%20School%20Budg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o/sites/so/gmprocess/Shared%20Documents/Budget_Template_Edu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ool Budget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asic Info"/>
      <sheetName val="Personnel"/>
      <sheetName val="Major Activity 1"/>
      <sheetName val="Major Activity 2"/>
      <sheetName val="Major Activity 3"/>
      <sheetName val="Major Activity 4"/>
      <sheetName val="Major Activity 5"/>
      <sheetName val="Major Activity 6"/>
      <sheetName val="Major Activity 7"/>
      <sheetName val="Major Activity 8"/>
      <sheetName val="Major Activity 9"/>
      <sheetName val="Major Activity 10"/>
      <sheetName val="Org Subgrants"/>
      <sheetName val="Total Subgrants"/>
      <sheetName val="Proposal Budget by Activity"/>
      <sheetName val="Short Form Bgt &amp; Actuals"/>
      <sheetName val="Actual Results by Activity"/>
      <sheetName val="Revised Budget by Activity"/>
      <sheetName val="Actual to Budget by Activity"/>
    </sheetNames>
    <sheetDataSet>
      <sheetData sheetId="0">
        <row r="1">
          <cell r="A1" t="str">
            <v>version 02.07.06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1:I27"/>
  <sheetViews>
    <sheetView showGridLines="0" zoomScale="80" zoomScaleNormal="80" zoomScalePageLayoutView="0" workbookViewId="0" topLeftCell="A1">
      <selection activeCell="A9" sqref="A9:F9"/>
    </sheetView>
  </sheetViews>
  <sheetFormatPr defaultColWidth="9.140625" defaultRowHeight="12.75"/>
  <cols>
    <col min="1" max="1" width="12.140625" style="0" customWidth="1"/>
    <col min="2" max="2" width="23.8515625" style="0" customWidth="1"/>
    <col min="3" max="3" width="32.140625" style="0" customWidth="1"/>
    <col min="4" max="4" width="25.00390625" style="0" customWidth="1"/>
    <col min="5" max="5" width="18.28125" style="0" customWidth="1"/>
    <col min="6" max="6" width="13.421875" style="0" customWidth="1"/>
  </cols>
  <sheetData>
    <row r="1" ht="18" customHeight="1">
      <c r="A1" s="87" t="s">
        <v>268</v>
      </c>
    </row>
    <row r="2" ht="12.75" customHeight="1"/>
    <row r="3" spans="1:6" ht="36.75" customHeight="1" thickBot="1">
      <c r="A3" s="88"/>
      <c r="D3" s="89"/>
      <c r="E3" s="90"/>
      <c r="F3" s="91"/>
    </row>
    <row r="4" spans="1:6" ht="20.25">
      <c r="A4" s="363" t="s">
        <v>339</v>
      </c>
      <c r="B4" s="363"/>
      <c r="C4" s="363"/>
      <c r="D4" s="363"/>
      <c r="E4" s="363"/>
      <c r="F4" s="363"/>
    </row>
    <row r="5" spans="1:6" s="92" customFormat="1" ht="15">
      <c r="A5" s="362" t="s">
        <v>264</v>
      </c>
      <c r="B5" s="362"/>
      <c r="C5" s="362"/>
      <c r="D5" s="362"/>
      <c r="E5" s="362"/>
      <c r="F5" s="362"/>
    </row>
    <row r="6" spans="1:6" s="92" customFormat="1" ht="15" customHeight="1">
      <c r="A6" s="367" t="s">
        <v>269</v>
      </c>
      <c r="B6" s="367"/>
      <c r="C6" s="367"/>
      <c r="D6" s="367"/>
      <c r="E6" s="367"/>
      <c r="F6" s="367"/>
    </row>
    <row r="7" spans="1:6" s="92" customFormat="1" ht="15" customHeight="1">
      <c r="A7" s="367" t="s">
        <v>342</v>
      </c>
      <c r="B7" s="368"/>
      <c r="C7" s="368"/>
      <c r="D7" s="93" t="s">
        <v>340</v>
      </c>
      <c r="E7" s="94"/>
      <c r="F7" s="95"/>
    </row>
    <row r="8" spans="1:7" s="92" customFormat="1" ht="15" customHeight="1">
      <c r="A8" s="365" t="s">
        <v>270</v>
      </c>
      <c r="B8" s="365"/>
      <c r="C8" s="365"/>
      <c r="D8" s="365"/>
      <c r="E8" s="130" t="s">
        <v>341</v>
      </c>
      <c r="F8" s="96"/>
      <c r="G8" s="97"/>
    </row>
    <row r="9" spans="1:9" s="92" customFormat="1" ht="15" customHeight="1">
      <c r="A9" s="369" t="s">
        <v>89</v>
      </c>
      <c r="B9" s="366"/>
      <c r="C9" s="366"/>
      <c r="D9" s="366"/>
      <c r="E9" s="366"/>
      <c r="F9" s="366"/>
      <c r="G9" s="98"/>
      <c r="I9" s="87"/>
    </row>
    <row r="10" spans="1:7" s="92" customFormat="1" ht="14.25">
      <c r="A10" s="365" t="s">
        <v>265</v>
      </c>
      <c r="B10" s="366"/>
      <c r="C10" s="366"/>
      <c r="D10" s="366"/>
      <c r="E10" s="366"/>
      <c r="F10" s="366"/>
      <c r="G10" s="98"/>
    </row>
    <row r="11" spans="1:6" ht="15">
      <c r="A11" s="370" t="s">
        <v>266</v>
      </c>
      <c r="B11" s="371"/>
      <c r="C11" s="371"/>
      <c r="D11" s="371"/>
      <c r="E11" s="371"/>
      <c r="F11" s="371"/>
    </row>
    <row r="12" spans="1:7" ht="9.75" customHeight="1">
      <c r="A12" s="364"/>
      <c r="B12" s="364"/>
      <c r="C12" s="364"/>
      <c r="D12" s="364"/>
      <c r="E12" s="364"/>
      <c r="F12" s="364"/>
      <c r="G12" s="100"/>
    </row>
    <row r="13" spans="1:6" ht="15" customHeight="1" thickBot="1">
      <c r="A13" s="377"/>
      <c r="B13" s="377"/>
      <c r="C13" s="377"/>
      <c r="D13" s="377"/>
      <c r="E13" s="377"/>
      <c r="F13" s="377"/>
    </row>
    <row r="14" spans="1:6" ht="20.25">
      <c r="A14" s="363" t="s">
        <v>267</v>
      </c>
      <c r="B14" s="363"/>
      <c r="C14" s="363"/>
      <c r="D14" s="363"/>
      <c r="E14" s="363"/>
      <c r="F14" s="363"/>
    </row>
    <row r="15" spans="1:7" ht="29.25" customHeight="1">
      <c r="A15" s="375" t="s">
        <v>271</v>
      </c>
      <c r="B15" s="376"/>
      <c r="C15" s="376"/>
      <c r="D15" s="376"/>
      <c r="E15" s="376"/>
      <c r="F15" s="376"/>
      <c r="G15" s="100"/>
    </row>
    <row r="16" spans="2:7" ht="9.75" customHeight="1">
      <c r="B16" s="105"/>
      <c r="C16" s="106"/>
      <c r="D16" s="107"/>
      <c r="E16" s="107"/>
      <c r="F16" s="107"/>
      <c r="G16" s="100"/>
    </row>
    <row r="17" spans="1:7" s="92" customFormat="1" ht="32.25" customHeight="1">
      <c r="A17" s="373" t="s">
        <v>283</v>
      </c>
      <c r="B17" s="374"/>
      <c r="C17" s="374"/>
      <c r="D17" s="374"/>
      <c r="E17" s="374"/>
      <c r="F17" s="374"/>
      <c r="G17" s="104"/>
    </row>
    <row r="18" spans="2:6" s="92" customFormat="1" ht="15">
      <c r="B18" s="372" t="s">
        <v>284</v>
      </c>
      <c r="C18" s="372"/>
      <c r="D18" s="372"/>
      <c r="E18" s="372"/>
      <c r="F18" s="372"/>
    </row>
    <row r="19" spans="2:6" s="92" customFormat="1" ht="30.75" customHeight="1">
      <c r="B19" s="372" t="s">
        <v>275</v>
      </c>
      <c r="C19" s="372"/>
      <c r="D19" s="372"/>
      <c r="E19" s="372"/>
      <c r="F19" s="372"/>
    </row>
    <row r="20" spans="2:6" s="92" customFormat="1" ht="15">
      <c r="B20" s="372" t="s">
        <v>272</v>
      </c>
      <c r="C20" s="372"/>
      <c r="D20" s="372"/>
      <c r="E20" s="372"/>
      <c r="F20" s="372"/>
    </row>
    <row r="21" spans="2:6" s="92" customFormat="1" ht="15">
      <c r="B21" s="372" t="s">
        <v>273</v>
      </c>
      <c r="C21" s="372"/>
      <c r="D21" s="372"/>
      <c r="E21" s="372"/>
      <c r="F21" s="372"/>
    </row>
    <row r="22" spans="2:6" s="92" customFormat="1" ht="30" customHeight="1">
      <c r="B22" s="372" t="s">
        <v>274</v>
      </c>
      <c r="C22" s="372"/>
      <c r="D22" s="372"/>
      <c r="E22" s="372"/>
      <c r="F22" s="372"/>
    </row>
    <row r="23" spans="2:6" s="92" customFormat="1" ht="15">
      <c r="B23" s="372" t="s">
        <v>276</v>
      </c>
      <c r="C23" s="372"/>
      <c r="D23" s="372"/>
      <c r="E23" s="372"/>
      <c r="F23" s="372"/>
    </row>
    <row r="24" spans="2:6" s="92" customFormat="1" ht="32.25" customHeight="1">
      <c r="B24" s="372" t="s">
        <v>223</v>
      </c>
      <c r="C24" s="372"/>
      <c r="D24" s="372"/>
      <c r="E24" s="372"/>
      <c r="F24" s="372"/>
    </row>
    <row r="25" spans="2:6" s="92" customFormat="1" ht="30" customHeight="1">
      <c r="B25" s="372" t="s">
        <v>224</v>
      </c>
      <c r="C25" s="372"/>
      <c r="D25" s="372"/>
      <c r="E25" s="372"/>
      <c r="F25" s="372"/>
    </row>
    <row r="27" spans="2:7" s="92" customFormat="1" ht="15">
      <c r="B27" s="372"/>
      <c r="C27" s="372"/>
      <c r="D27" s="372"/>
      <c r="E27" s="372"/>
      <c r="F27" s="372"/>
      <c r="G27" s="104"/>
    </row>
    <row r="28" ht="8.25" customHeight="1"/>
  </sheetData>
  <sheetProtection/>
  <mergeCells count="22">
    <mergeCell ref="A17:F17"/>
    <mergeCell ref="A14:F14"/>
    <mergeCell ref="A15:F15"/>
    <mergeCell ref="A13:F13"/>
    <mergeCell ref="B27:F27"/>
    <mergeCell ref="B18:F18"/>
    <mergeCell ref="B19:F19"/>
    <mergeCell ref="B21:F21"/>
    <mergeCell ref="B22:F22"/>
    <mergeCell ref="B23:F23"/>
    <mergeCell ref="B24:F24"/>
    <mergeCell ref="B25:F25"/>
    <mergeCell ref="B20:F20"/>
    <mergeCell ref="A5:F5"/>
    <mergeCell ref="A4:F4"/>
    <mergeCell ref="A12:F12"/>
    <mergeCell ref="A10:F10"/>
    <mergeCell ref="A7:C7"/>
    <mergeCell ref="A6:F6"/>
    <mergeCell ref="A8:D8"/>
    <mergeCell ref="A9:F9"/>
    <mergeCell ref="A11:F11"/>
  </mergeCells>
  <dataValidations count="3">
    <dataValidation allowBlank="1" showInputMessage="1" showErrorMessage="1" prompt="Below are formatting cues and definitions to help you complete each of the worksheets in this workbook." sqref="A14:F14"/>
    <dataValidation allowBlank="1" showInputMessage="1" showErrorMessage="1" prompt="Please follow the steps below to guide you in developing your proposed budget, or to assist you in completing a report on actual expenses of an existing grant." sqref="A4:F4"/>
    <dataValidation allowBlank="1" showInputMessage="1" showErrorMessage="1" prompt="Enter the preparer's name in the yellow cell to the right." sqref="D3"/>
  </dataValidations>
  <printOptions horizontalCentered="1"/>
  <pageMargins left="0.25" right="0.25" top="0.25" bottom="0.5" header="0" footer="0.25"/>
  <pageSetup horizontalDpi="600" verticalDpi="600" orientation="landscape" paperSize="9" scale="85"/>
  <headerFooter alignWithMargins="0">
    <oddFooter>&amp;R&amp;8Page &amp;P of &amp;N
Rev: 04/15/05</oddFooter>
  </headerFooter>
  <drawing r:id="rId1"/>
</worksheet>
</file>

<file path=xl/worksheets/sheet10.xml><?xml version="1.0" encoding="utf-8"?>
<worksheet xmlns="http://schemas.openxmlformats.org/spreadsheetml/2006/main" xmlns:r="http://schemas.openxmlformats.org/officeDocument/2006/relationships">
  <sheetPr>
    <tabColor indexed="29"/>
    <pageSetUpPr fitToPage="1"/>
  </sheetPr>
  <dimension ref="A1:K39"/>
  <sheetViews>
    <sheetView view="pageBreakPreview" zoomScaleNormal="80" zoomScaleSheetLayoutView="100" zoomScalePageLayoutView="0" workbookViewId="0" topLeftCell="A1">
      <selection activeCell="J17" sqref="J1:K16384"/>
    </sheetView>
  </sheetViews>
  <sheetFormatPr defaultColWidth="9.140625" defaultRowHeight="12.75"/>
  <cols>
    <col min="1" max="1" width="34.421875" style="311" customWidth="1"/>
    <col min="2" max="7" width="12.00390625" style="311" customWidth="1"/>
    <col min="8" max="8" width="14.421875" style="311" hidden="1" customWidth="1"/>
    <col min="9" max="9" width="36.421875" style="311" customWidth="1"/>
    <col min="10" max="10" width="11.00390625" style="295" customWidth="1"/>
    <col min="11" max="11" width="15.421875" style="1" customWidth="1"/>
    <col min="12" max="16384" width="9.140625" style="311" customWidth="1"/>
  </cols>
  <sheetData>
    <row r="1" spans="1:11" ht="18">
      <c r="A1" s="304" t="s">
        <v>165</v>
      </c>
      <c r="B1" s="1"/>
      <c r="C1" s="1"/>
      <c r="D1" s="1"/>
      <c r="E1" s="1"/>
      <c r="F1" s="1"/>
      <c r="G1" s="2"/>
      <c r="K1" s="305"/>
    </row>
    <row r="2" spans="1:7" ht="18">
      <c r="A2" s="304"/>
      <c r="B2" s="1"/>
      <c r="C2" s="1"/>
      <c r="D2" s="1"/>
      <c r="E2" s="1"/>
      <c r="F2" s="1"/>
      <c r="G2" s="2"/>
    </row>
    <row r="3" spans="1:7" ht="15">
      <c r="A3" s="47" t="s">
        <v>363</v>
      </c>
      <c r="B3" s="81" t="str">
        <f>'Major Activity 1'!B2</f>
        <v>UNDP</v>
      </c>
      <c r="C3" s="10"/>
      <c r="D3" s="10"/>
      <c r="E3" s="10"/>
      <c r="F3" s="10"/>
      <c r="G3" s="13"/>
    </row>
    <row r="4" spans="1:9" ht="15" customHeight="1">
      <c r="A4" s="47" t="s">
        <v>364</v>
      </c>
      <c r="B4" s="384" t="str">
        <f>'Snapshot |15 Major Activities'!B3</f>
        <v>Expansion of Successful Poverty Reduction and Women’s Empowerment Model in West Africa Project Number 45498</v>
      </c>
      <c r="C4" s="384"/>
      <c r="D4" s="384"/>
      <c r="E4" s="384"/>
      <c r="F4" s="384"/>
      <c r="G4" s="384"/>
      <c r="H4" s="384"/>
      <c r="I4" s="384"/>
    </row>
    <row r="5" spans="1:10" s="1" customFormat="1" ht="30" customHeight="1">
      <c r="A5" s="49" t="s">
        <v>206</v>
      </c>
      <c r="B5" s="384" t="str">
        <f>'Snapshot |15 Major Activities'!B5:C5</f>
        <v>To strengthen human and institutional capacities, including expanding technology and financing options and strengthening knowledge management, in support of implementing national multifunctional platform programs</v>
      </c>
      <c r="C5" s="384"/>
      <c r="D5" s="384"/>
      <c r="E5" s="384"/>
      <c r="F5" s="384"/>
      <c r="G5" s="384"/>
      <c r="H5" s="384"/>
      <c r="I5" s="384"/>
      <c r="J5" s="295"/>
    </row>
    <row r="6" spans="1:9" ht="33.75" customHeight="1" thickBot="1">
      <c r="A6" s="48" t="s">
        <v>196</v>
      </c>
      <c r="B6" s="388" t="str">
        <f>'Basic Info'!C31</f>
        <v>Expand technology options for the MFP which could increase and diversify income-generating opportunities along the agricultural value chain</v>
      </c>
      <c r="C6" s="388"/>
      <c r="D6" s="388"/>
      <c r="E6" s="388"/>
      <c r="F6" s="388"/>
      <c r="G6" s="388"/>
      <c r="H6" s="388"/>
      <c r="I6" s="388"/>
    </row>
    <row r="7" spans="1:11" ht="28.5">
      <c r="A7" s="53" t="s">
        <v>404</v>
      </c>
      <c r="B7" s="51" t="s">
        <v>405</v>
      </c>
      <c r="C7" s="51" t="s">
        <v>409</v>
      </c>
      <c r="D7" s="51" t="s">
        <v>410</v>
      </c>
      <c r="E7" s="51" t="s">
        <v>171</v>
      </c>
      <c r="F7" s="51" t="s">
        <v>169</v>
      </c>
      <c r="G7" s="248" t="s">
        <v>411</v>
      </c>
      <c r="H7" s="52" t="s">
        <v>374</v>
      </c>
      <c r="I7" s="54" t="s">
        <v>362</v>
      </c>
      <c r="J7" s="306"/>
      <c r="K7" s="307"/>
    </row>
    <row r="8" spans="1:11" ht="14.25">
      <c r="A8" s="302" t="s">
        <v>353</v>
      </c>
      <c r="B8" s="176">
        <f>SUM(B9:B10)</f>
        <v>48000</v>
      </c>
      <c r="C8" s="176">
        <f>SUM(C9:C10)</f>
        <v>40000</v>
      </c>
      <c r="D8" s="176">
        <f>SUM(D9:D10)</f>
        <v>40000</v>
      </c>
      <c r="E8" s="176">
        <f>SUM(E9:E10)</f>
        <v>32000</v>
      </c>
      <c r="F8" s="176">
        <f>SUM(F9:F10)</f>
        <v>0</v>
      </c>
      <c r="G8" s="249">
        <f>SUM(B8:F8)</f>
        <v>160000</v>
      </c>
      <c r="H8" s="11"/>
      <c r="I8" s="11"/>
      <c r="K8" s="267"/>
    </row>
    <row r="9" spans="1:11" s="312" customFormat="1" ht="33.75">
      <c r="A9" s="19" t="s">
        <v>119</v>
      </c>
      <c r="B9" s="61">
        <f>8000*2</f>
        <v>16000</v>
      </c>
      <c r="C9" s="61">
        <f>8000*2</f>
        <v>16000</v>
      </c>
      <c r="D9" s="61">
        <f>8000*2</f>
        <v>16000</v>
      </c>
      <c r="E9" s="61">
        <f>8000*2</f>
        <v>16000</v>
      </c>
      <c r="F9" s="61">
        <v>0</v>
      </c>
      <c r="G9" s="250"/>
      <c r="H9" s="43"/>
      <c r="I9" s="19"/>
      <c r="J9" s="295"/>
      <c r="K9" s="1"/>
    </row>
    <row r="10" spans="1:9" ht="33.75">
      <c r="A10" s="34" t="s">
        <v>95</v>
      </c>
      <c r="B10" s="207">
        <f>8000*4</f>
        <v>32000</v>
      </c>
      <c r="C10" s="207">
        <f>8000*3</f>
        <v>24000</v>
      </c>
      <c r="D10" s="207">
        <f>8000*3</f>
        <v>24000</v>
      </c>
      <c r="E10" s="207">
        <f>8000*2</f>
        <v>16000</v>
      </c>
      <c r="F10" s="207"/>
      <c r="G10" s="252"/>
      <c r="H10" s="44"/>
      <c r="I10" s="34" t="s">
        <v>36</v>
      </c>
    </row>
    <row r="11" spans="1:9" ht="14.25">
      <c r="A11" s="302" t="s">
        <v>354</v>
      </c>
      <c r="B11" s="176">
        <f>SUM(B12:B12)</f>
        <v>0</v>
      </c>
      <c r="C11" s="176">
        <f>SUM(C12:C12)</f>
        <v>0</v>
      </c>
      <c r="D11" s="176">
        <f>SUM(D12:D12)</f>
        <v>0</v>
      </c>
      <c r="E11" s="176">
        <f>SUM(E12:E12)</f>
        <v>0</v>
      </c>
      <c r="F11" s="176">
        <f>SUM(F12:F12)</f>
        <v>0</v>
      </c>
      <c r="G11" s="249">
        <f>SUM(B11:F11)</f>
        <v>0</v>
      </c>
      <c r="H11" s="18"/>
      <c r="I11" s="11"/>
    </row>
    <row r="12" spans="1:10" ht="14.25">
      <c r="A12" s="23"/>
      <c r="B12" s="195"/>
      <c r="C12" s="195"/>
      <c r="D12" s="195"/>
      <c r="E12" s="195"/>
      <c r="F12" s="195"/>
      <c r="G12" s="252"/>
      <c r="H12" s="24"/>
      <c r="I12" s="23"/>
      <c r="J12" s="296"/>
    </row>
    <row r="13" spans="1:10" ht="15">
      <c r="A13" s="308" t="s">
        <v>352</v>
      </c>
      <c r="B13" s="176">
        <f>SUM(B14:B17)</f>
        <v>17500</v>
      </c>
      <c r="C13" s="176">
        <f>SUM(C14:C17)</f>
        <v>62500</v>
      </c>
      <c r="D13" s="176">
        <f>SUM(D14:D17)</f>
        <v>0</v>
      </c>
      <c r="E13" s="176">
        <f>SUM(E14:E17)</f>
        <v>27500</v>
      </c>
      <c r="F13" s="176">
        <f>SUM(F14:F17)</f>
        <v>0</v>
      </c>
      <c r="G13" s="249">
        <f>SUM(B13:F13)</f>
        <v>107500</v>
      </c>
      <c r="H13" s="11"/>
      <c r="I13" s="11"/>
      <c r="J13" s="296"/>
    </row>
    <row r="14" spans="1:11" s="312" customFormat="1" ht="48" customHeight="1">
      <c r="A14" s="189" t="s">
        <v>558</v>
      </c>
      <c r="B14" s="61">
        <f>2500*1</f>
        <v>2500</v>
      </c>
      <c r="C14" s="61">
        <f>2500*3</f>
        <v>7500</v>
      </c>
      <c r="D14" s="61"/>
      <c r="E14" s="61">
        <f>2500*1</f>
        <v>2500</v>
      </c>
      <c r="F14" s="61"/>
      <c r="G14" s="253"/>
      <c r="H14" s="86"/>
      <c r="I14" s="188" t="s">
        <v>0</v>
      </c>
      <c r="J14" s="295"/>
      <c r="K14" s="1"/>
    </row>
    <row r="15" spans="1:10" ht="39.75" customHeight="1">
      <c r="A15" s="189" t="s">
        <v>447</v>
      </c>
      <c r="B15" s="61"/>
      <c r="C15" s="61">
        <f>2500*10</f>
        <v>25000</v>
      </c>
      <c r="D15" s="61"/>
      <c r="E15" s="61">
        <f>2500*10</f>
        <v>25000</v>
      </c>
      <c r="F15" s="61"/>
      <c r="G15" s="253"/>
      <c r="H15" s="1"/>
      <c r="I15" s="2"/>
      <c r="J15" s="300"/>
    </row>
    <row r="16" spans="1:9" ht="33.75">
      <c r="A16" s="189" t="s">
        <v>557</v>
      </c>
      <c r="B16" s="61">
        <f>1500*10</f>
        <v>15000</v>
      </c>
      <c r="C16" s="61">
        <f>1500*10*2</f>
        <v>30000</v>
      </c>
      <c r="D16" s="61"/>
      <c r="E16" s="61"/>
      <c r="F16" s="61"/>
      <c r="G16" s="253"/>
      <c r="H16" s="1"/>
      <c r="I16" s="2"/>
    </row>
    <row r="17" spans="1:9" ht="14.25">
      <c r="A17" s="35"/>
      <c r="B17" s="196"/>
      <c r="C17" s="196"/>
      <c r="D17" s="196"/>
      <c r="E17" s="196"/>
      <c r="F17" s="196"/>
      <c r="G17" s="251"/>
      <c r="H17" s="35"/>
      <c r="I17" s="168"/>
    </row>
    <row r="18" spans="1:11" ht="14.25">
      <c r="A18" s="302" t="s">
        <v>359</v>
      </c>
      <c r="B18" s="176">
        <f>SUM(B19:B21)</f>
        <v>28500</v>
      </c>
      <c r="C18" s="176">
        <f>SUM(C19:C21)</f>
        <v>21000</v>
      </c>
      <c r="D18" s="176">
        <f>SUM(D19:D21)</f>
        <v>9000</v>
      </c>
      <c r="E18" s="176">
        <f>SUM(E19:E21)</f>
        <v>9000</v>
      </c>
      <c r="F18" s="176">
        <f>SUM(F19:F21)</f>
        <v>0</v>
      </c>
      <c r="G18" s="249">
        <f>SUM(B18:F18)</f>
        <v>67500</v>
      </c>
      <c r="H18" s="11"/>
      <c r="I18" s="11"/>
      <c r="K18" s="267"/>
    </row>
    <row r="19" spans="1:9" ht="33.75">
      <c r="A19" s="189" t="s">
        <v>156</v>
      </c>
      <c r="B19" s="61">
        <f>3000*3</f>
        <v>9000</v>
      </c>
      <c r="C19" s="61">
        <f>3000*3</f>
        <v>9000</v>
      </c>
      <c r="D19" s="61">
        <f>3000*3</f>
        <v>9000</v>
      </c>
      <c r="E19" s="61">
        <f>3000*3</f>
        <v>9000</v>
      </c>
      <c r="F19" s="61"/>
      <c r="G19" s="253"/>
      <c r="H19" s="1"/>
      <c r="I19" s="188" t="s">
        <v>155</v>
      </c>
    </row>
    <row r="20" spans="1:11" ht="22.5">
      <c r="A20" s="19" t="s">
        <v>52</v>
      </c>
      <c r="B20" s="61">
        <f>3000*0.5</f>
        <v>1500</v>
      </c>
      <c r="C20" s="61">
        <f>3000*2*0.5</f>
        <v>3000</v>
      </c>
      <c r="D20" s="61"/>
      <c r="E20" s="61"/>
      <c r="F20" s="61"/>
      <c r="G20" s="254"/>
      <c r="H20" s="33"/>
      <c r="I20" s="4"/>
      <c r="K20" s="267"/>
    </row>
    <row r="21" spans="1:9" ht="50.25" customHeight="1">
      <c r="A21" s="189" t="s">
        <v>53</v>
      </c>
      <c r="B21" s="61">
        <f>3000*3*2</f>
        <v>18000</v>
      </c>
      <c r="C21" s="61">
        <f>3000*3*1</f>
        <v>9000</v>
      </c>
      <c r="D21" s="61"/>
      <c r="E21" s="61"/>
      <c r="F21" s="61"/>
      <c r="G21" s="253"/>
      <c r="H21" s="86"/>
      <c r="I21" s="189" t="s">
        <v>54</v>
      </c>
    </row>
    <row r="22" spans="1:9" ht="33.75">
      <c r="A22" s="34" t="s">
        <v>96</v>
      </c>
      <c r="B22" s="207">
        <f>15000*1</f>
        <v>15000</v>
      </c>
      <c r="C22" s="207">
        <f>15000*1</f>
        <v>15000</v>
      </c>
      <c r="D22" s="207">
        <f>15000*1</f>
        <v>15000</v>
      </c>
      <c r="E22" s="207"/>
      <c r="F22" s="207"/>
      <c r="G22" s="251"/>
      <c r="H22" s="200"/>
      <c r="I22" s="34" t="s">
        <v>514</v>
      </c>
    </row>
    <row r="23" spans="1:10" ht="14.25">
      <c r="A23" s="302" t="s">
        <v>356</v>
      </c>
      <c r="B23" s="176">
        <f>SUM(B24:B26)</f>
        <v>5000</v>
      </c>
      <c r="C23" s="176">
        <f>SUM(C24:C26)</f>
        <v>20000</v>
      </c>
      <c r="D23" s="176">
        <f>SUM(D24:D26)</f>
        <v>0</v>
      </c>
      <c r="E23" s="176">
        <f>SUM(E24:E26)</f>
        <v>10000</v>
      </c>
      <c r="F23" s="176">
        <f>SUM(F24:F26)</f>
        <v>0</v>
      </c>
      <c r="G23" s="249">
        <f>SUM(B23:F23)</f>
        <v>35000</v>
      </c>
      <c r="H23" s="18"/>
      <c r="I23" s="11"/>
      <c r="J23" s="296"/>
    </row>
    <row r="24" spans="1:11" ht="14.25">
      <c r="A24" s="189"/>
      <c r="B24" s="61"/>
      <c r="C24" s="61"/>
      <c r="D24" s="61"/>
      <c r="E24" s="61"/>
      <c r="F24" s="61"/>
      <c r="G24" s="249"/>
      <c r="H24" s="18"/>
      <c r="K24" s="267"/>
    </row>
    <row r="25" spans="1:9" ht="22.5">
      <c r="A25" s="189" t="s">
        <v>2</v>
      </c>
      <c r="B25" s="61">
        <f>5000</f>
        <v>5000</v>
      </c>
      <c r="C25" s="61">
        <f>5000*2</f>
        <v>10000</v>
      </c>
      <c r="D25" s="61"/>
      <c r="E25" s="61"/>
      <c r="F25" s="61"/>
      <c r="G25" s="253"/>
      <c r="H25" s="1"/>
      <c r="I25" s="189" t="s">
        <v>3</v>
      </c>
    </row>
    <row r="26" spans="1:9" ht="33.75">
      <c r="A26" s="34" t="s">
        <v>125</v>
      </c>
      <c r="B26" s="207"/>
      <c r="C26" s="207">
        <f>10000</f>
        <v>10000</v>
      </c>
      <c r="D26" s="207"/>
      <c r="E26" s="207">
        <f>10000</f>
        <v>10000</v>
      </c>
      <c r="F26" s="207"/>
      <c r="G26" s="251"/>
      <c r="H26" s="35"/>
      <c r="I26" s="189" t="s">
        <v>4</v>
      </c>
    </row>
    <row r="27" spans="1:11" ht="12.75">
      <c r="A27" s="302" t="s">
        <v>357</v>
      </c>
      <c r="B27" s="176">
        <f>SUM(B28:B29)</f>
        <v>50000</v>
      </c>
      <c r="C27" s="176">
        <f>SUM(C28:C29)</f>
        <v>100000</v>
      </c>
      <c r="D27" s="176">
        <f>SUM(D28:D29)</f>
        <v>40000</v>
      </c>
      <c r="E27" s="176">
        <f>SUM(E28:E29)</f>
        <v>20000</v>
      </c>
      <c r="F27" s="176">
        <f>SUM(F28:F29)</f>
        <v>0</v>
      </c>
      <c r="G27" s="249">
        <f>SUM(B27:F27)</f>
        <v>210000</v>
      </c>
      <c r="H27" s="11"/>
      <c r="I27" s="246"/>
      <c r="J27" s="296"/>
      <c r="K27" s="267"/>
    </row>
    <row r="28" spans="1:9" ht="27.75" customHeight="1">
      <c r="A28" s="189" t="s">
        <v>5</v>
      </c>
      <c r="B28" s="61">
        <f>30000*1</f>
        <v>30000</v>
      </c>
      <c r="C28" s="61">
        <f>30000*2</f>
        <v>60000</v>
      </c>
      <c r="D28" s="61"/>
      <c r="E28" s="61"/>
      <c r="F28" s="61"/>
      <c r="G28" s="250"/>
      <c r="H28" s="18"/>
      <c r="I28" s="225" t="s">
        <v>113</v>
      </c>
    </row>
    <row r="29" spans="1:10" ht="36">
      <c r="A29" s="19" t="s">
        <v>6</v>
      </c>
      <c r="B29" s="61">
        <f>20000*1</f>
        <v>20000</v>
      </c>
      <c r="C29" s="61">
        <f>20000*2</f>
        <v>40000</v>
      </c>
      <c r="D29" s="61">
        <f>20000*2</f>
        <v>40000</v>
      </c>
      <c r="E29" s="61">
        <f>20000*1</f>
        <v>20000</v>
      </c>
      <c r="F29" s="61"/>
      <c r="G29" s="254"/>
      <c r="H29" s="33"/>
      <c r="I29" s="169" t="s">
        <v>396</v>
      </c>
      <c r="J29" s="296"/>
    </row>
    <row r="30" spans="1:9" ht="14.25">
      <c r="A30" s="202"/>
      <c r="B30" s="206"/>
      <c r="C30" s="206"/>
      <c r="D30" s="206"/>
      <c r="E30" s="206"/>
      <c r="F30" s="196"/>
      <c r="G30" s="251"/>
      <c r="H30" s="35"/>
      <c r="I30" s="178"/>
    </row>
    <row r="31" spans="1:10" ht="14.25">
      <c r="A31" s="302" t="s">
        <v>358</v>
      </c>
      <c r="B31" s="176">
        <f>SUM(B32:B33)</f>
        <v>0</v>
      </c>
      <c r="C31" s="176">
        <f>SUM(C32:C33)</f>
        <v>0</v>
      </c>
      <c r="D31" s="176">
        <f>SUM(D32:D33)</f>
        <v>0</v>
      </c>
      <c r="E31" s="176">
        <f>SUM(E32:E33)</f>
        <v>0</v>
      </c>
      <c r="F31" s="176">
        <f>SUM(F32:F33)</f>
        <v>0</v>
      </c>
      <c r="G31" s="249">
        <f>SUM(B31:F31)</f>
        <v>0</v>
      </c>
      <c r="H31" s="11"/>
      <c r="I31" s="11"/>
      <c r="J31" s="296"/>
    </row>
    <row r="32" spans="1:10" ht="14.25">
      <c r="A32" s="17" t="s">
        <v>408</v>
      </c>
      <c r="B32" s="56"/>
      <c r="C32" s="56"/>
      <c r="D32" s="56"/>
      <c r="E32" s="56"/>
      <c r="F32" s="56"/>
      <c r="G32" s="250"/>
      <c r="H32" s="18"/>
      <c r="I32" s="11"/>
      <c r="J32" s="296"/>
    </row>
    <row r="33" spans="1:9" ht="14.25">
      <c r="A33" s="35"/>
      <c r="B33" s="196"/>
      <c r="C33" s="196"/>
      <c r="D33" s="196"/>
      <c r="E33" s="196"/>
      <c r="F33" s="196"/>
      <c r="G33" s="251"/>
      <c r="H33" s="35"/>
      <c r="I33" s="168"/>
    </row>
    <row r="34" spans="1:11" ht="12.75">
      <c r="A34" s="302" t="s">
        <v>355</v>
      </c>
      <c r="B34" s="176">
        <f>SUM(B35:B35)</f>
        <v>45000</v>
      </c>
      <c r="C34" s="176">
        <f>SUM(C35:C35)</f>
        <v>0</v>
      </c>
      <c r="D34" s="176">
        <f>SUM(D35:D35)</f>
        <v>45000</v>
      </c>
      <c r="E34" s="176">
        <f>SUM(E35:E35)</f>
        <v>0</v>
      </c>
      <c r="F34" s="176">
        <f>SUM(F35:F35)</f>
        <v>0</v>
      </c>
      <c r="G34" s="249">
        <f>SUM(B34:F34)</f>
        <v>90000</v>
      </c>
      <c r="H34" s="11"/>
      <c r="I34" s="11"/>
      <c r="J34" s="296"/>
      <c r="K34" s="267"/>
    </row>
    <row r="35" spans="1:9" ht="14.25">
      <c r="A35" s="34" t="s">
        <v>7</v>
      </c>
      <c r="B35" s="207">
        <f>15000*3</f>
        <v>45000</v>
      </c>
      <c r="C35" s="207"/>
      <c r="D35" s="207">
        <f>15000*3</f>
        <v>45000</v>
      </c>
      <c r="E35" s="207"/>
      <c r="F35" s="207"/>
      <c r="G35" s="252"/>
      <c r="H35" s="24"/>
      <c r="I35" s="34" t="s">
        <v>114</v>
      </c>
    </row>
    <row r="36" spans="1:11" ht="14.25">
      <c r="A36" s="309" t="s">
        <v>427</v>
      </c>
      <c r="B36" s="249">
        <f aca="true" t="shared" si="0" ref="B36:G36">SUM(B34,B31,B27,B23,B18,B13,B11,B8)</f>
        <v>194000</v>
      </c>
      <c r="C36" s="249">
        <f t="shared" si="0"/>
        <v>243500</v>
      </c>
      <c r="D36" s="249">
        <f t="shared" si="0"/>
        <v>134000</v>
      </c>
      <c r="E36" s="249">
        <f t="shared" si="0"/>
        <v>98500</v>
      </c>
      <c r="F36" s="249">
        <f t="shared" si="0"/>
        <v>0</v>
      </c>
      <c r="G36" s="249">
        <f t="shared" si="0"/>
        <v>670000</v>
      </c>
      <c r="H36" s="20"/>
      <c r="I36" s="11"/>
      <c r="K36" s="297"/>
    </row>
    <row r="37" spans="1:11" ht="15.75">
      <c r="A37" s="258"/>
      <c r="B37" s="255"/>
      <c r="C37" s="255"/>
      <c r="D37" s="255"/>
      <c r="E37" s="255"/>
      <c r="F37" s="255"/>
      <c r="G37" s="255"/>
      <c r="H37" s="27"/>
      <c r="I37" s="23"/>
      <c r="J37" s="306"/>
      <c r="K37" s="307"/>
    </row>
    <row r="38" spans="1:9" ht="14.25">
      <c r="A38" s="1"/>
      <c r="B38" s="1"/>
      <c r="C38" s="1"/>
      <c r="D38" s="1"/>
      <c r="E38" s="1"/>
      <c r="F38" s="1"/>
      <c r="G38" s="2"/>
      <c r="H38" s="33"/>
      <c r="I38" s="33"/>
    </row>
    <row r="39" spans="1:9" ht="14.25">
      <c r="A39" s="1"/>
      <c r="B39" s="1"/>
      <c r="C39" s="1"/>
      <c r="D39" s="1"/>
      <c r="E39" s="1"/>
      <c r="F39" s="1"/>
      <c r="G39" s="1"/>
      <c r="H39" s="1"/>
      <c r="I39" s="1"/>
    </row>
  </sheetData>
  <sheetProtection/>
  <mergeCells count="3">
    <mergeCell ref="B5:I5"/>
    <mergeCell ref="B4:I4"/>
    <mergeCell ref="B6:I6"/>
  </mergeCells>
  <printOptions horizontalCentered="1"/>
  <pageMargins left="0.2362204724409449" right="0.2362204724409449" top="0.2362204724409449" bottom="0.5118110236220472" header="0" footer="0.2362204724409449"/>
  <pageSetup fitToHeight="1" fitToWidth="1" horizontalDpi="600" verticalDpi="600" orientation="landscape" paperSize="9" scale="65" r:id="rId2"/>
  <headerFooter alignWithMargins="0">
    <oddFooter>&amp;R&amp;8Page &amp;P of &amp;N
Rev: 04/15/05</oddFooter>
  </headerFooter>
  <drawing r:id="rId1"/>
</worksheet>
</file>

<file path=xl/worksheets/sheet11.xml><?xml version="1.0" encoding="utf-8"?>
<worksheet xmlns="http://schemas.openxmlformats.org/spreadsheetml/2006/main" xmlns:r="http://schemas.openxmlformats.org/officeDocument/2006/relationships">
  <sheetPr>
    <tabColor indexed="29"/>
    <pageSetUpPr fitToPage="1"/>
  </sheetPr>
  <dimension ref="A1:K38"/>
  <sheetViews>
    <sheetView view="pageBreakPreview" zoomScale="60" zoomScaleNormal="80" zoomScalePageLayoutView="0" workbookViewId="0" topLeftCell="A1">
      <selection activeCell="J11" sqref="J1:K16384"/>
    </sheetView>
  </sheetViews>
  <sheetFormatPr defaultColWidth="9.140625" defaultRowHeight="12.75"/>
  <cols>
    <col min="1" max="1" width="34.421875" style="311" customWidth="1"/>
    <col min="2" max="7" width="12.00390625" style="311" customWidth="1"/>
    <col min="8" max="8" width="14.421875" style="311" hidden="1" customWidth="1"/>
    <col min="9" max="9" width="36.421875" style="311" customWidth="1"/>
    <col min="10" max="10" width="11.00390625" style="295" customWidth="1"/>
    <col min="11" max="11" width="15.421875" style="1" customWidth="1"/>
    <col min="12" max="16384" width="9.140625" style="311" customWidth="1"/>
  </cols>
  <sheetData>
    <row r="1" spans="1:11" ht="18">
      <c r="A1" s="304" t="s">
        <v>165</v>
      </c>
      <c r="B1" s="1"/>
      <c r="C1" s="1"/>
      <c r="D1" s="1"/>
      <c r="E1" s="1"/>
      <c r="F1" s="1"/>
      <c r="G1" s="2"/>
      <c r="K1" s="305"/>
    </row>
    <row r="2" spans="1:7" ht="18">
      <c r="A2" s="304"/>
      <c r="B2" s="1"/>
      <c r="C2" s="1"/>
      <c r="D2" s="1"/>
      <c r="E2" s="1"/>
      <c r="F2" s="1"/>
      <c r="G2" s="2"/>
    </row>
    <row r="3" spans="1:7" ht="15">
      <c r="A3" s="47" t="s">
        <v>363</v>
      </c>
      <c r="B3" s="81" t="str">
        <f>'Major Activity 1'!B2</f>
        <v>UNDP</v>
      </c>
      <c r="C3" s="10"/>
      <c r="D3" s="10"/>
      <c r="E3" s="10"/>
      <c r="F3" s="10"/>
      <c r="G3" s="13"/>
    </row>
    <row r="4" spans="1:7" ht="15">
      <c r="A4" s="47" t="s">
        <v>364</v>
      </c>
      <c r="B4" s="182" t="str">
        <f>'Snapshot |15 Major Activities'!B3</f>
        <v>Expansion of Successful Poverty Reduction and Women’s Empowerment Model in West Africa Project Number 45498</v>
      </c>
      <c r="C4" s="182"/>
      <c r="D4" s="182"/>
      <c r="E4" s="182"/>
      <c r="F4" s="182"/>
      <c r="G4" s="182"/>
    </row>
    <row r="5" spans="1:10" s="1" customFormat="1" ht="30.75" customHeight="1">
      <c r="A5" s="49" t="s">
        <v>206</v>
      </c>
      <c r="B5" s="389" t="str">
        <f>'Snapshot |15 Major Activities'!B5:C5</f>
        <v>To strengthen human and institutional capacities, including expanding technology and financing options and strengthening knowledge management, in support of implementing national multifunctional platform programs</v>
      </c>
      <c r="C5" s="389"/>
      <c r="D5" s="389"/>
      <c r="E5" s="389"/>
      <c r="F5" s="389"/>
      <c r="G5" s="389"/>
      <c r="H5" s="389"/>
      <c r="I5" s="389"/>
      <c r="J5" s="295"/>
    </row>
    <row r="6" spans="1:7" ht="15.75" thickBot="1">
      <c r="A6" s="48" t="s">
        <v>194</v>
      </c>
      <c r="B6" s="36" t="str">
        <f>'Basic Info'!C32</f>
        <v>Research and test the potential of using biofuels as a fuel substitute for the MFPs</v>
      </c>
      <c r="C6" s="37"/>
      <c r="D6" s="37"/>
      <c r="E6" s="37"/>
      <c r="F6" s="37"/>
      <c r="G6" s="38"/>
    </row>
    <row r="7" spans="1:11" ht="28.5">
      <c r="A7" s="53" t="s">
        <v>404</v>
      </c>
      <c r="B7" s="51" t="s">
        <v>405</v>
      </c>
      <c r="C7" s="51" t="s">
        <v>409</v>
      </c>
      <c r="D7" s="51" t="s">
        <v>410</v>
      </c>
      <c r="E7" s="51" t="s">
        <v>171</v>
      </c>
      <c r="F7" s="51" t="s">
        <v>169</v>
      </c>
      <c r="G7" s="248" t="s">
        <v>411</v>
      </c>
      <c r="H7" s="52" t="s">
        <v>374</v>
      </c>
      <c r="I7" s="54" t="s">
        <v>362</v>
      </c>
      <c r="J7" s="306"/>
      <c r="K7" s="307"/>
    </row>
    <row r="8" spans="1:11" ht="13.5" customHeight="1">
      <c r="A8" s="302" t="s">
        <v>353</v>
      </c>
      <c r="B8" s="176">
        <f>SUM(B9:B10)</f>
        <v>48000</v>
      </c>
      <c r="C8" s="176">
        <f>SUM(C9:C10)</f>
        <v>24000</v>
      </c>
      <c r="D8" s="176">
        <f>SUM(D9:D10)</f>
        <v>16000</v>
      </c>
      <c r="E8" s="176">
        <f>SUM(E9:E10)</f>
        <v>8000</v>
      </c>
      <c r="F8" s="176">
        <f>SUM(F9:F10)</f>
        <v>0</v>
      </c>
      <c r="G8" s="249">
        <f>SUM(B8:F8)</f>
        <v>96000</v>
      </c>
      <c r="H8" s="11"/>
      <c r="I8" s="11"/>
      <c r="K8" s="267"/>
    </row>
    <row r="9" spans="1:11" s="312" customFormat="1" ht="14.25">
      <c r="A9" s="19"/>
      <c r="B9" s="61"/>
      <c r="C9" s="61"/>
      <c r="D9" s="61"/>
      <c r="E9" s="61"/>
      <c r="F9" s="61"/>
      <c r="G9" s="250"/>
      <c r="H9" s="43"/>
      <c r="I9" s="19"/>
      <c r="J9" s="295"/>
      <c r="K9" s="1"/>
    </row>
    <row r="10" spans="1:11" s="209" customFormat="1" ht="33.75">
      <c r="A10" s="34" t="s">
        <v>57</v>
      </c>
      <c r="B10" s="207">
        <f>8000*6</f>
        <v>48000</v>
      </c>
      <c r="C10" s="207">
        <f>8000*3</f>
        <v>24000</v>
      </c>
      <c r="D10" s="207">
        <f>8000*2</f>
        <v>16000</v>
      </c>
      <c r="E10" s="207">
        <f>8000*1</f>
        <v>8000</v>
      </c>
      <c r="F10" s="195"/>
      <c r="G10" s="252"/>
      <c r="H10" s="271"/>
      <c r="I10" s="34" t="s">
        <v>58</v>
      </c>
      <c r="J10" s="295"/>
      <c r="K10" s="1"/>
    </row>
    <row r="11" spans="1:11" s="312" customFormat="1" ht="14.25">
      <c r="A11" s="303" t="s">
        <v>354</v>
      </c>
      <c r="B11" s="55">
        <f>SUM(B12:B13)</f>
        <v>0</v>
      </c>
      <c r="C11" s="55">
        <f>SUM(C12:C13)</f>
        <v>0</v>
      </c>
      <c r="D11" s="55">
        <f>SUM(D12:D13)</f>
        <v>0</v>
      </c>
      <c r="E11" s="55">
        <f>SUM(E12:E13)</f>
        <v>0</v>
      </c>
      <c r="F11" s="55">
        <f>SUM(F12:F13)</f>
        <v>0</v>
      </c>
      <c r="G11" s="249">
        <f>SUM(B11:F11)</f>
        <v>0</v>
      </c>
      <c r="H11" s="43"/>
      <c r="I11" s="19"/>
      <c r="J11" s="295"/>
      <c r="K11" s="1"/>
    </row>
    <row r="12" spans="1:11" s="312" customFormat="1" ht="14.25">
      <c r="A12" s="132" t="s">
        <v>406</v>
      </c>
      <c r="B12" s="61"/>
      <c r="C12" s="61"/>
      <c r="D12" s="61"/>
      <c r="E12" s="61"/>
      <c r="F12" s="61"/>
      <c r="G12" s="250"/>
      <c r="H12" s="43"/>
      <c r="I12" s="19"/>
      <c r="J12" s="296"/>
      <c r="K12" s="1"/>
    </row>
    <row r="13" spans="1:11" s="312" customFormat="1" ht="14.25">
      <c r="A13" s="34"/>
      <c r="B13" s="207"/>
      <c r="C13" s="207"/>
      <c r="D13" s="207"/>
      <c r="E13" s="207"/>
      <c r="F13" s="207"/>
      <c r="G13" s="252"/>
      <c r="H13" s="44"/>
      <c r="I13" s="34"/>
      <c r="J13" s="296"/>
      <c r="K13" s="1"/>
    </row>
    <row r="14" spans="1:11" s="312" customFormat="1" ht="15">
      <c r="A14" s="310" t="s">
        <v>352</v>
      </c>
      <c r="B14" s="55">
        <f>SUM(B15:B16)</f>
        <v>0</v>
      </c>
      <c r="C14" s="55">
        <f>SUM(C15:C16)</f>
        <v>25000</v>
      </c>
      <c r="D14" s="55">
        <f>SUM(D15:D16)</f>
        <v>0</v>
      </c>
      <c r="E14" s="55">
        <f>SUM(E15:E16)</f>
        <v>0</v>
      </c>
      <c r="F14" s="55">
        <f>SUM(F15:F16)</f>
        <v>0</v>
      </c>
      <c r="G14" s="249">
        <f>SUM(B14:F14)</f>
        <v>25000</v>
      </c>
      <c r="H14" s="19"/>
      <c r="I14" s="247"/>
      <c r="K14" s="1"/>
    </row>
    <row r="15" spans="1:11" s="312" customFormat="1" ht="14.25">
      <c r="A15" s="189"/>
      <c r="B15" s="61"/>
      <c r="C15" s="61"/>
      <c r="D15" s="61"/>
      <c r="E15" s="61"/>
      <c r="F15" s="61"/>
      <c r="G15" s="253"/>
      <c r="H15" s="86"/>
      <c r="I15" s="257"/>
      <c r="J15" s="295"/>
      <c r="K15" s="1"/>
    </row>
    <row r="16" spans="1:11" s="312" customFormat="1" ht="30.75" customHeight="1">
      <c r="A16" s="34" t="s">
        <v>397</v>
      </c>
      <c r="B16" s="207"/>
      <c r="C16" s="207">
        <f>2500*10</f>
        <v>25000</v>
      </c>
      <c r="D16" s="207"/>
      <c r="E16" s="207"/>
      <c r="F16" s="207"/>
      <c r="G16" s="251"/>
      <c r="H16" s="35"/>
      <c r="I16" s="270" t="s">
        <v>481</v>
      </c>
      <c r="J16" s="300"/>
      <c r="K16" s="1"/>
    </row>
    <row r="17" spans="1:11" s="312" customFormat="1" ht="14.25">
      <c r="A17" s="303" t="s">
        <v>359</v>
      </c>
      <c r="B17" s="55">
        <f>SUM(B18:B20)</f>
        <v>0</v>
      </c>
      <c r="C17" s="55">
        <f>SUM(C18:C20)</f>
        <v>12000</v>
      </c>
      <c r="D17" s="55">
        <f>SUM(D18:D20)</f>
        <v>12000</v>
      </c>
      <c r="E17" s="55">
        <f>SUM(E18:E20)</f>
        <v>12000</v>
      </c>
      <c r="F17" s="55">
        <f>SUM(F18:F20)</f>
        <v>0</v>
      </c>
      <c r="G17" s="249">
        <f>SUM(B17:F17)</f>
        <v>36000</v>
      </c>
      <c r="H17" s="19"/>
      <c r="I17" s="19"/>
      <c r="J17" s="295"/>
      <c r="K17" s="1"/>
    </row>
    <row r="18" spans="1:11" s="312" customFormat="1" ht="22.5">
      <c r="A18" s="19" t="s">
        <v>55</v>
      </c>
      <c r="B18" s="61"/>
      <c r="C18" s="61">
        <f>3000*4</f>
        <v>12000</v>
      </c>
      <c r="D18" s="61">
        <f>3000*4</f>
        <v>12000</v>
      </c>
      <c r="E18" s="61">
        <f>3000*4</f>
        <v>12000</v>
      </c>
      <c r="F18" s="61"/>
      <c r="G18" s="253"/>
      <c r="H18" s="1"/>
      <c r="I18" s="189" t="s">
        <v>493</v>
      </c>
      <c r="J18" s="295"/>
      <c r="K18" s="267"/>
    </row>
    <row r="19" spans="1:11" s="312" customFormat="1" ht="14.25">
      <c r="A19" s="189"/>
      <c r="B19" s="61"/>
      <c r="C19" s="61"/>
      <c r="D19" s="61"/>
      <c r="E19" s="61"/>
      <c r="F19" s="61"/>
      <c r="G19" s="253"/>
      <c r="H19" s="86"/>
      <c r="I19" s="189"/>
      <c r="J19" s="295"/>
      <c r="K19" s="1"/>
    </row>
    <row r="20" spans="1:11" ht="14.25">
      <c r="A20" s="35"/>
      <c r="B20" s="196"/>
      <c r="C20" s="196"/>
      <c r="D20" s="196"/>
      <c r="E20" s="196"/>
      <c r="F20" s="196"/>
      <c r="G20" s="251"/>
      <c r="H20" s="35"/>
      <c r="I20" s="23"/>
      <c r="K20" s="267"/>
    </row>
    <row r="21" spans="1:9" ht="14.25">
      <c r="A21" s="302" t="s">
        <v>356</v>
      </c>
      <c r="B21" s="176">
        <f>SUM(B22:B24)</f>
        <v>0</v>
      </c>
      <c r="C21" s="176">
        <f>SUM(C22:C24)</f>
        <v>10000</v>
      </c>
      <c r="D21" s="176">
        <f>SUM(D22:D24)</f>
        <v>0</v>
      </c>
      <c r="E21" s="176">
        <f>SUM(E22:E24)</f>
        <v>0</v>
      </c>
      <c r="F21" s="176">
        <f>SUM(F22:F24)</f>
        <v>0</v>
      </c>
      <c r="G21" s="249">
        <f>SUM(B21:F21)</f>
        <v>10000</v>
      </c>
      <c r="H21" s="18"/>
      <c r="I21" s="11"/>
    </row>
    <row r="22" spans="1:9" ht="14.25">
      <c r="A22" s="17" t="s">
        <v>407</v>
      </c>
      <c r="B22" s="56"/>
      <c r="C22" s="56"/>
      <c r="D22" s="56"/>
      <c r="E22" s="56"/>
      <c r="F22" s="56"/>
      <c r="G22" s="249"/>
      <c r="H22" s="18"/>
      <c r="I22" s="11"/>
    </row>
    <row r="23" spans="1:9" ht="24">
      <c r="A23" s="237" t="s">
        <v>123</v>
      </c>
      <c r="B23" s="207"/>
      <c r="C23" s="207">
        <v>10000</v>
      </c>
      <c r="D23" s="207"/>
      <c r="E23" s="207"/>
      <c r="F23" s="207"/>
      <c r="G23" s="251"/>
      <c r="H23" s="35"/>
      <c r="I23" s="270" t="s">
        <v>64</v>
      </c>
    </row>
    <row r="24" spans="1:11" ht="14.25">
      <c r="A24" s="237"/>
      <c r="B24" s="207"/>
      <c r="C24" s="207"/>
      <c r="D24" s="207"/>
      <c r="E24" s="207"/>
      <c r="F24" s="207"/>
      <c r="G24" s="251"/>
      <c r="H24" s="35"/>
      <c r="I24" s="270"/>
      <c r="K24" s="267"/>
    </row>
    <row r="25" spans="1:9" ht="14.25">
      <c r="A25" s="302" t="s">
        <v>357</v>
      </c>
      <c r="B25" s="176">
        <f>SUM(B26:B27)</f>
        <v>30000</v>
      </c>
      <c r="C25" s="176">
        <f>SUM(C26:C27)</f>
        <v>30000</v>
      </c>
      <c r="D25" s="176">
        <f>SUM(D26:D27)</f>
        <v>0</v>
      </c>
      <c r="E25" s="176">
        <f>SUM(E26:E27)</f>
        <v>0</v>
      </c>
      <c r="F25" s="176">
        <f>SUM(F26:F27)</f>
        <v>0</v>
      </c>
      <c r="G25" s="249">
        <f>SUM(B25:F25)</f>
        <v>60000</v>
      </c>
      <c r="H25" s="11"/>
      <c r="I25" s="11"/>
    </row>
    <row r="26" spans="1:9" ht="14.25">
      <c r="A26" s="189"/>
      <c r="B26" s="61"/>
      <c r="C26" s="61"/>
      <c r="D26" s="61"/>
      <c r="E26" s="61"/>
      <c r="F26" s="61"/>
      <c r="G26" s="250"/>
      <c r="H26" s="18"/>
      <c r="I26" s="225"/>
    </row>
    <row r="27" spans="1:11" ht="22.5">
      <c r="A27" s="23" t="s">
        <v>437</v>
      </c>
      <c r="B27" s="207">
        <v>30000</v>
      </c>
      <c r="C27" s="207">
        <v>30000</v>
      </c>
      <c r="D27" s="207"/>
      <c r="E27" s="207"/>
      <c r="F27" s="207"/>
      <c r="G27" s="251"/>
      <c r="H27" s="200"/>
      <c r="I27" s="241" t="s">
        <v>438</v>
      </c>
      <c r="J27" s="296"/>
      <c r="K27" s="267"/>
    </row>
    <row r="28" spans="1:9" ht="14.25">
      <c r="A28" s="302" t="s">
        <v>358</v>
      </c>
      <c r="B28" s="176">
        <f>SUM(B29:B30)</f>
        <v>0</v>
      </c>
      <c r="C28" s="176">
        <f>SUM(C29:C30)</f>
        <v>0</v>
      </c>
      <c r="D28" s="176">
        <f>SUM(D29:D30)</f>
        <v>0</v>
      </c>
      <c r="E28" s="176">
        <f>SUM(E29:E30)</f>
        <v>0</v>
      </c>
      <c r="F28" s="176">
        <f>SUM(F29:F30)</f>
        <v>0</v>
      </c>
      <c r="G28" s="249">
        <f>SUM(B28:F28)</f>
        <v>0</v>
      </c>
      <c r="H28" s="11"/>
      <c r="I28" s="11"/>
    </row>
    <row r="29" spans="1:10" ht="14.25">
      <c r="A29" s="17" t="s">
        <v>408</v>
      </c>
      <c r="B29" s="56"/>
      <c r="C29" s="56"/>
      <c r="D29" s="56"/>
      <c r="E29" s="56"/>
      <c r="F29" s="56"/>
      <c r="G29" s="250"/>
      <c r="H29" s="18"/>
      <c r="I29" s="11"/>
      <c r="J29" s="296"/>
    </row>
    <row r="30" spans="1:9" ht="14.25">
      <c r="A30" s="35"/>
      <c r="B30" s="196"/>
      <c r="C30" s="196"/>
      <c r="D30" s="196"/>
      <c r="E30" s="196"/>
      <c r="F30" s="196"/>
      <c r="G30" s="251"/>
      <c r="H30" s="35"/>
      <c r="I30" s="23"/>
    </row>
    <row r="31" spans="1:10" ht="14.25">
      <c r="A31" s="302" t="s">
        <v>355</v>
      </c>
      <c r="B31" s="176">
        <f>SUM(B32:B34)</f>
        <v>91000</v>
      </c>
      <c r="C31" s="176">
        <f>SUM(C32:C34)</f>
        <v>91000</v>
      </c>
      <c r="D31" s="176">
        <f>SUM(D32:D34)</f>
        <v>0</v>
      </c>
      <c r="E31" s="176">
        <f>SUM(E32:E34)</f>
        <v>0</v>
      </c>
      <c r="F31" s="176">
        <f>SUM(F32:F34)</f>
        <v>0</v>
      </c>
      <c r="G31" s="249">
        <f>SUM(B31:F31)</f>
        <v>182000</v>
      </c>
      <c r="H31" s="11"/>
      <c r="I31" s="11"/>
      <c r="J31" s="296"/>
    </row>
    <row r="32" spans="1:10" ht="14.25">
      <c r="A32" s="17" t="s">
        <v>407</v>
      </c>
      <c r="B32" s="56"/>
      <c r="C32" s="56"/>
      <c r="D32" s="56"/>
      <c r="E32" s="56"/>
      <c r="F32" s="56"/>
      <c r="G32" s="250"/>
      <c r="H32" s="18"/>
      <c r="I32" s="11"/>
      <c r="J32" s="296"/>
    </row>
    <row r="33" spans="1:9" ht="14.25">
      <c r="A33" s="19"/>
      <c r="B33" s="61"/>
      <c r="C33" s="61"/>
      <c r="D33" s="61"/>
      <c r="E33" s="61"/>
      <c r="F33" s="61"/>
      <c r="G33" s="250"/>
      <c r="H33" s="18"/>
      <c r="I33" s="19"/>
    </row>
    <row r="34" spans="1:11" ht="39" customHeight="1">
      <c r="A34" s="23" t="s">
        <v>105</v>
      </c>
      <c r="B34" s="207">
        <f>(26*7000)*0.5</f>
        <v>91000</v>
      </c>
      <c r="C34" s="207">
        <f>(26*7000)*0.5</f>
        <v>91000</v>
      </c>
      <c r="D34" s="207"/>
      <c r="E34" s="207"/>
      <c r="F34" s="207"/>
      <c r="G34" s="251"/>
      <c r="H34" s="35"/>
      <c r="I34" s="23" t="s">
        <v>65</v>
      </c>
      <c r="J34" s="296"/>
      <c r="K34" s="267"/>
    </row>
    <row r="35" spans="1:9" ht="14.25">
      <c r="A35" s="309" t="s">
        <v>428</v>
      </c>
      <c r="B35" s="249">
        <f aca="true" t="shared" si="0" ref="B35:G35">SUM(B31,B28,B25,B21,B17,B14,B11,B8)</f>
        <v>169000</v>
      </c>
      <c r="C35" s="249">
        <f t="shared" si="0"/>
        <v>192000</v>
      </c>
      <c r="D35" s="249">
        <f t="shared" si="0"/>
        <v>28000</v>
      </c>
      <c r="E35" s="249">
        <f t="shared" si="0"/>
        <v>20000</v>
      </c>
      <c r="F35" s="249">
        <f t="shared" si="0"/>
        <v>0</v>
      </c>
      <c r="G35" s="249">
        <f t="shared" si="0"/>
        <v>409000</v>
      </c>
      <c r="H35" s="20"/>
      <c r="I35" s="11"/>
    </row>
    <row r="36" spans="1:11" ht="14.25">
      <c r="A36" s="258"/>
      <c r="B36" s="255"/>
      <c r="C36" s="255"/>
      <c r="D36" s="255"/>
      <c r="E36" s="255"/>
      <c r="F36" s="255"/>
      <c r="G36" s="255"/>
      <c r="H36" s="27"/>
      <c r="I36" s="23"/>
      <c r="K36" s="297"/>
    </row>
    <row r="37" spans="1:11" ht="15.75">
      <c r="A37" s="1"/>
      <c r="B37" s="1"/>
      <c r="C37" s="1"/>
      <c r="D37" s="1"/>
      <c r="E37" s="1"/>
      <c r="F37" s="1"/>
      <c r="G37" s="2"/>
      <c r="H37" s="33"/>
      <c r="I37" s="33"/>
      <c r="J37" s="306"/>
      <c r="K37" s="307"/>
    </row>
    <row r="38" spans="1:9" ht="14.25">
      <c r="A38" s="1"/>
      <c r="B38" s="1"/>
      <c r="C38" s="1"/>
      <c r="D38" s="1"/>
      <c r="E38" s="1"/>
      <c r="F38" s="1"/>
      <c r="G38" s="1"/>
      <c r="H38" s="1"/>
      <c r="I38" s="1"/>
    </row>
  </sheetData>
  <sheetProtection/>
  <mergeCells count="1">
    <mergeCell ref="B5:I5"/>
  </mergeCells>
  <printOptions horizontalCentered="1"/>
  <pageMargins left="0.2362204724409449" right="0.2362204724409449" top="0.2362204724409449" bottom="0.5118110236220472" header="0" footer="0.2362204724409449"/>
  <pageSetup fitToHeight="1" fitToWidth="1" horizontalDpi="600" verticalDpi="600" orientation="landscape" paperSize="9" scale="87" r:id="rId2"/>
  <headerFooter alignWithMargins="0">
    <oddFooter>&amp;R&amp;8Page &amp;P of &amp;N
Rev: 04/15/05</oddFooter>
  </headerFooter>
  <drawing r:id="rId1"/>
</worksheet>
</file>

<file path=xl/worksheets/sheet12.xml><?xml version="1.0" encoding="utf-8"?>
<worksheet xmlns="http://schemas.openxmlformats.org/spreadsheetml/2006/main" xmlns:r="http://schemas.openxmlformats.org/officeDocument/2006/relationships">
  <sheetPr>
    <tabColor indexed="29"/>
    <pageSetUpPr fitToPage="1"/>
  </sheetPr>
  <dimension ref="A1:K44"/>
  <sheetViews>
    <sheetView view="pageBreakPreview" zoomScaleNormal="80" zoomScaleSheetLayoutView="100" zoomScalePageLayoutView="0" workbookViewId="0" topLeftCell="A1">
      <selection activeCell="J25" sqref="J1:K16384"/>
    </sheetView>
  </sheetViews>
  <sheetFormatPr defaultColWidth="9.140625" defaultRowHeight="12.75"/>
  <cols>
    <col min="1" max="1" width="34.421875" style="312" customWidth="1"/>
    <col min="2" max="7" width="12.00390625" style="312" customWidth="1"/>
    <col min="8" max="8" width="14.421875" style="312" hidden="1" customWidth="1"/>
    <col min="9" max="9" width="36.421875" style="312" customWidth="1"/>
    <col min="10" max="10" width="11.00390625" style="295" customWidth="1"/>
    <col min="11" max="11" width="15.421875" style="1" customWidth="1"/>
    <col min="12" max="16384" width="9.140625" style="312" customWidth="1"/>
  </cols>
  <sheetData>
    <row r="1" spans="1:11" ht="18">
      <c r="A1" s="304" t="s">
        <v>165</v>
      </c>
      <c r="B1" s="86"/>
      <c r="C1" s="86"/>
      <c r="D1" s="86"/>
      <c r="E1" s="86"/>
      <c r="F1" s="86"/>
      <c r="G1" s="85"/>
      <c r="K1" s="305"/>
    </row>
    <row r="2" spans="1:7" ht="18">
      <c r="A2" s="304"/>
      <c r="B2" s="86"/>
      <c r="C2" s="86"/>
      <c r="D2" s="86"/>
      <c r="E2" s="86"/>
      <c r="F2" s="86"/>
      <c r="G2" s="85"/>
    </row>
    <row r="3" spans="1:7" ht="15">
      <c r="A3" s="211" t="s">
        <v>363</v>
      </c>
      <c r="B3" s="212" t="str">
        <f>'Major Activity 1'!B2</f>
        <v>UNDP</v>
      </c>
      <c r="C3" s="205"/>
      <c r="D3" s="205"/>
      <c r="E3" s="205"/>
      <c r="F3" s="205"/>
      <c r="G3" s="189"/>
    </row>
    <row r="4" spans="1:7" ht="15">
      <c r="A4" s="211" t="s">
        <v>364</v>
      </c>
      <c r="B4" s="213" t="str">
        <f>'Snapshot |15 Major Activities'!B3</f>
        <v>Expansion of Successful Poverty Reduction and Women’s Empowerment Model in West Africa Project Number 45498</v>
      </c>
      <c r="C4" s="213"/>
      <c r="D4" s="213"/>
      <c r="E4" s="213"/>
      <c r="F4" s="213"/>
      <c r="G4" s="213"/>
    </row>
    <row r="5" spans="1:11" s="86" customFormat="1" ht="29.25" customHeight="1">
      <c r="A5" s="214" t="s">
        <v>206</v>
      </c>
      <c r="B5" s="390" t="str">
        <f>'Snapshot |15 Major Activities'!B5:C5</f>
        <v>To strengthen human and institutional capacities, including expanding technology and financing options and strengthening knowledge management, in support of implementing national multifunctional platform programs</v>
      </c>
      <c r="C5" s="390"/>
      <c r="D5" s="390"/>
      <c r="E5" s="390"/>
      <c r="F5" s="390"/>
      <c r="G5" s="390"/>
      <c r="H5" s="390"/>
      <c r="I5" s="390"/>
      <c r="J5" s="295"/>
      <c r="K5" s="1"/>
    </row>
    <row r="6" spans="1:9" ht="31.5" customHeight="1" thickBot="1">
      <c r="A6" s="215" t="s">
        <v>197</v>
      </c>
      <c r="B6" s="388" t="str">
        <f>'Basic Info'!C33</f>
        <v>Strengthen national policy frameworks, including national poverty reduction strategies and budgets, to support the expansion of MFP-based agro-enterprises and ensure gender dynamics are integrated in national policies</v>
      </c>
      <c r="C6" s="388"/>
      <c r="D6" s="388"/>
      <c r="E6" s="388"/>
      <c r="F6" s="388"/>
      <c r="G6" s="388"/>
      <c r="H6" s="388"/>
      <c r="I6" s="388"/>
    </row>
    <row r="7" spans="1:11" ht="28.5">
      <c r="A7" s="53" t="s">
        <v>404</v>
      </c>
      <c r="B7" s="51" t="s">
        <v>405</v>
      </c>
      <c r="C7" s="51" t="s">
        <v>409</v>
      </c>
      <c r="D7" s="51" t="s">
        <v>410</v>
      </c>
      <c r="E7" s="51" t="s">
        <v>171</v>
      </c>
      <c r="F7" s="51" t="s">
        <v>169</v>
      </c>
      <c r="G7" s="248" t="s">
        <v>411</v>
      </c>
      <c r="H7" s="52" t="s">
        <v>374</v>
      </c>
      <c r="I7" s="216" t="s">
        <v>362</v>
      </c>
      <c r="J7" s="306"/>
      <c r="K7" s="307"/>
    </row>
    <row r="8" spans="1:11" ht="14.25">
      <c r="A8" s="303" t="s">
        <v>353</v>
      </c>
      <c r="B8" s="55">
        <f>SUM(B9:B11)</f>
        <v>36000</v>
      </c>
      <c r="C8" s="55">
        <f>SUM(C9:C11)</f>
        <v>36000</v>
      </c>
      <c r="D8" s="55">
        <f>SUM(D9:D11)</f>
        <v>36000</v>
      </c>
      <c r="E8" s="55">
        <f>SUM(E9:E11)</f>
        <v>36000</v>
      </c>
      <c r="F8" s="55">
        <f>SUM(F9:F11)</f>
        <v>0</v>
      </c>
      <c r="G8" s="249">
        <f>SUM(B8:F8)</f>
        <v>144000</v>
      </c>
      <c r="H8" s="19"/>
      <c r="I8" s="19"/>
      <c r="K8" s="267"/>
    </row>
    <row r="9" spans="1:9" ht="57" customHeight="1">
      <c r="A9" s="19" t="s">
        <v>460</v>
      </c>
      <c r="B9" s="61">
        <f>8000*3</f>
        <v>24000</v>
      </c>
      <c r="C9" s="61">
        <f>8000*3</f>
        <v>24000</v>
      </c>
      <c r="D9" s="61">
        <f>8000*3</f>
        <v>24000</v>
      </c>
      <c r="E9" s="61">
        <f>8000*3</f>
        <v>24000</v>
      </c>
      <c r="F9" s="61">
        <v>0</v>
      </c>
      <c r="G9" s="250"/>
      <c r="H9" s="43"/>
      <c r="I9" s="19" t="s">
        <v>120</v>
      </c>
    </row>
    <row r="10" spans="1:9" ht="66" customHeight="1">
      <c r="A10" s="19" t="s">
        <v>227</v>
      </c>
      <c r="B10" s="61">
        <f>8000*1.5</f>
        <v>12000</v>
      </c>
      <c r="C10" s="61">
        <f>8000*1.5</f>
        <v>12000</v>
      </c>
      <c r="D10" s="61">
        <f>8000*1.5</f>
        <v>12000</v>
      </c>
      <c r="E10" s="61">
        <f>8000*1.5</f>
        <v>12000</v>
      </c>
      <c r="F10" s="61">
        <v>0</v>
      </c>
      <c r="G10" s="250"/>
      <c r="H10" s="43"/>
      <c r="I10" s="19" t="s">
        <v>228</v>
      </c>
    </row>
    <row r="11" spans="1:9" ht="14.25">
      <c r="A11" s="200"/>
      <c r="B11" s="206"/>
      <c r="C11" s="206"/>
      <c r="D11" s="206"/>
      <c r="E11" s="206"/>
      <c r="F11" s="206"/>
      <c r="G11" s="251"/>
      <c r="H11" s="200"/>
      <c r="I11" s="201"/>
    </row>
    <row r="12" spans="1:10" ht="14.25">
      <c r="A12" s="303" t="s">
        <v>354</v>
      </c>
      <c r="B12" s="55">
        <f>SUM(B13:B14)</f>
        <v>0</v>
      </c>
      <c r="C12" s="55">
        <f>SUM(C13:C14)</f>
        <v>0</v>
      </c>
      <c r="D12" s="55">
        <f>SUM(D13:D14)</f>
        <v>0</v>
      </c>
      <c r="E12" s="55">
        <f>SUM(E13:E14)</f>
        <v>0</v>
      </c>
      <c r="F12" s="55">
        <f>SUM(F13:F14)</f>
        <v>0</v>
      </c>
      <c r="G12" s="249">
        <f>SUM(B12:F12)</f>
        <v>0</v>
      </c>
      <c r="H12" s="43"/>
      <c r="I12" s="19"/>
      <c r="J12" s="296"/>
    </row>
    <row r="13" spans="1:10" ht="14.25">
      <c r="A13" s="132" t="s">
        <v>406</v>
      </c>
      <c r="B13" s="61"/>
      <c r="C13" s="61"/>
      <c r="D13" s="61"/>
      <c r="E13" s="61"/>
      <c r="F13" s="61"/>
      <c r="G13" s="250"/>
      <c r="H13" s="43"/>
      <c r="I13" s="19"/>
      <c r="J13" s="296"/>
    </row>
    <row r="14" spans="1:10" ht="14.25">
      <c r="A14" s="34"/>
      <c r="B14" s="207"/>
      <c r="C14" s="207"/>
      <c r="D14" s="207"/>
      <c r="E14" s="207"/>
      <c r="F14" s="207"/>
      <c r="G14" s="252"/>
      <c r="H14" s="44"/>
      <c r="I14" s="34"/>
      <c r="J14" s="312"/>
    </row>
    <row r="15" spans="1:9" ht="15">
      <c r="A15" s="310" t="s">
        <v>352</v>
      </c>
      <c r="B15" s="55">
        <f>SUM(B16:B20)</f>
        <v>52500</v>
      </c>
      <c r="C15" s="55">
        <f>SUM(C16:C20)</f>
        <v>7500</v>
      </c>
      <c r="D15" s="55">
        <f>SUM(D16:D20)</f>
        <v>7500</v>
      </c>
      <c r="E15" s="55">
        <f>SUM(E16:E16)</f>
        <v>7500</v>
      </c>
      <c r="F15" s="55">
        <f>SUM(F16:F20)</f>
        <v>0</v>
      </c>
      <c r="G15" s="249">
        <f>SUM(B15:F15)</f>
        <v>75000</v>
      </c>
      <c r="H15" s="19"/>
      <c r="I15" s="247"/>
    </row>
    <row r="16" spans="1:9" ht="33.75">
      <c r="A16" s="19" t="s">
        <v>448</v>
      </c>
      <c r="B16" s="61">
        <f>2500*3</f>
        <v>7500</v>
      </c>
      <c r="C16" s="61">
        <f>2500*3</f>
        <v>7500</v>
      </c>
      <c r="D16" s="61">
        <f>2500*3</f>
        <v>7500</v>
      </c>
      <c r="E16" s="61">
        <f>2500*3</f>
        <v>7500</v>
      </c>
      <c r="F16" s="61">
        <v>0</v>
      </c>
      <c r="G16" s="253"/>
      <c r="H16" s="86"/>
      <c r="I16" s="189" t="s">
        <v>449</v>
      </c>
    </row>
    <row r="17" spans="1:9" ht="52.5" customHeight="1">
      <c r="A17" s="189" t="s">
        <v>8</v>
      </c>
      <c r="B17" s="61">
        <f>1500*10*3</f>
        <v>45000</v>
      </c>
      <c r="C17" s="61"/>
      <c r="D17" s="61"/>
      <c r="E17" s="61">
        <f>1500*10*3</f>
        <v>45000</v>
      </c>
      <c r="F17" s="61"/>
      <c r="G17" s="253"/>
      <c r="H17" s="86"/>
      <c r="I17" s="189" t="s">
        <v>516</v>
      </c>
    </row>
    <row r="18" spans="1:11" ht="14.25">
      <c r="A18" s="189"/>
      <c r="B18" s="61"/>
      <c r="C18" s="61"/>
      <c r="D18" s="61"/>
      <c r="E18" s="61"/>
      <c r="F18" s="61"/>
      <c r="G18" s="253"/>
      <c r="H18" s="86"/>
      <c r="I18" s="225"/>
      <c r="K18" s="267"/>
    </row>
    <row r="19" spans="1:9" ht="14.25">
      <c r="A19" s="189"/>
      <c r="B19" s="61"/>
      <c r="C19" s="61"/>
      <c r="D19" s="61"/>
      <c r="E19" s="61"/>
      <c r="F19" s="61"/>
      <c r="G19" s="253"/>
      <c r="H19" s="86"/>
      <c r="I19" s="225"/>
    </row>
    <row r="20" spans="1:11" ht="14.25">
      <c r="A20" s="34"/>
      <c r="B20" s="206"/>
      <c r="C20" s="206"/>
      <c r="D20" s="206"/>
      <c r="E20" s="206"/>
      <c r="F20" s="206"/>
      <c r="G20" s="251"/>
      <c r="H20" s="200"/>
      <c r="I20" s="226"/>
      <c r="K20" s="267"/>
    </row>
    <row r="21" spans="1:9" ht="14.25">
      <c r="A21" s="303" t="s">
        <v>359</v>
      </c>
      <c r="B21" s="55">
        <f>SUM(B22:B26)</f>
        <v>103500</v>
      </c>
      <c r="C21" s="55">
        <f>SUM(C23:C27)</f>
        <v>39000</v>
      </c>
      <c r="D21" s="55">
        <f>SUM(D23:D27)</f>
        <v>24000</v>
      </c>
      <c r="E21" s="55">
        <f>SUM(E23:E27)</f>
        <v>121500</v>
      </c>
      <c r="F21" s="55">
        <f>SUM(F22:F26)</f>
        <v>0</v>
      </c>
      <c r="G21" s="249">
        <f>SUM(B21:F21)</f>
        <v>288000</v>
      </c>
      <c r="H21" s="19"/>
      <c r="I21" s="19"/>
    </row>
    <row r="22" spans="1:9" ht="14.25">
      <c r="A22" s="132" t="s">
        <v>406</v>
      </c>
      <c r="B22" s="204"/>
      <c r="C22" s="204"/>
      <c r="D22" s="204"/>
      <c r="E22" s="204"/>
      <c r="F22" s="204"/>
      <c r="G22" s="253"/>
      <c r="H22" s="86"/>
      <c r="I22" s="85"/>
    </row>
    <row r="23" spans="1:9" ht="27" customHeight="1">
      <c r="A23" s="189" t="s">
        <v>157</v>
      </c>
      <c r="B23" s="61">
        <f>(3000*3*3)*2</f>
        <v>54000</v>
      </c>
      <c r="C23" s="61"/>
      <c r="D23" s="61"/>
      <c r="E23" s="61">
        <f>(3000*3*3)*2</f>
        <v>54000</v>
      </c>
      <c r="F23" s="61"/>
      <c r="G23" s="253"/>
      <c r="H23" s="86"/>
      <c r="I23" s="189" t="s">
        <v>158</v>
      </c>
    </row>
    <row r="24" spans="1:11" ht="29.25" customHeight="1">
      <c r="A24" s="189" t="s">
        <v>97</v>
      </c>
      <c r="B24" s="61">
        <f>3000*0.5*3</f>
        <v>4500</v>
      </c>
      <c r="C24" s="61"/>
      <c r="D24" s="61"/>
      <c r="E24" s="61">
        <f>3000*0.5*3</f>
        <v>4500</v>
      </c>
      <c r="F24" s="61"/>
      <c r="G24" s="253"/>
      <c r="H24" s="86"/>
      <c r="I24" s="189" t="s">
        <v>97</v>
      </c>
      <c r="K24" s="267"/>
    </row>
    <row r="25" spans="1:10" ht="28.5" customHeight="1">
      <c r="A25" s="189" t="s">
        <v>403</v>
      </c>
      <c r="B25" s="61">
        <f>15000*3</f>
        <v>45000</v>
      </c>
      <c r="C25" s="61"/>
      <c r="D25" s="61"/>
      <c r="E25" s="61">
        <f>15000*3</f>
        <v>45000</v>
      </c>
      <c r="F25" s="61"/>
      <c r="G25" s="253"/>
      <c r="H25" s="86"/>
      <c r="I25" s="189" t="s">
        <v>115</v>
      </c>
      <c r="J25" s="300"/>
    </row>
    <row r="26" spans="1:10" ht="45">
      <c r="A26" s="205" t="s">
        <v>398</v>
      </c>
      <c r="C26" s="61">
        <f>15000*2</f>
        <v>30000</v>
      </c>
      <c r="D26" s="61">
        <f>15000*1</f>
        <v>15000</v>
      </c>
      <c r="E26" s="61"/>
      <c r="F26" s="61"/>
      <c r="G26" s="253"/>
      <c r="H26" s="86"/>
      <c r="I26" s="189" t="s">
        <v>505</v>
      </c>
      <c r="J26" s="300"/>
    </row>
    <row r="27" spans="1:11" ht="36">
      <c r="A27" s="207" t="s">
        <v>81</v>
      </c>
      <c r="B27" s="206"/>
      <c r="C27" s="206">
        <f>3*1*3000</f>
        <v>9000</v>
      </c>
      <c r="D27" s="206">
        <f>3*1*3000</f>
        <v>9000</v>
      </c>
      <c r="E27" s="206">
        <f>3*2*3000</f>
        <v>18000</v>
      </c>
      <c r="F27" s="206"/>
      <c r="G27" s="251"/>
      <c r="H27" s="35"/>
      <c r="I27" s="202" t="s">
        <v>335</v>
      </c>
      <c r="J27" s="296"/>
      <c r="K27" s="267"/>
    </row>
    <row r="28" spans="1:9" ht="33.75">
      <c r="A28" s="34" t="s">
        <v>33</v>
      </c>
      <c r="B28" s="313"/>
      <c r="C28" s="207">
        <f>3000*3*2</f>
        <v>18000</v>
      </c>
      <c r="D28" s="207">
        <f>3000*3*2</f>
        <v>18000</v>
      </c>
      <c r="E28" s="207">
        <f>3000*1.5*3</f>
        <v>13500</v>
      </c>
      <c r="F28" s="207"/>
      <c r="G28" s="251"/>
      <c r="H28" s="200"/>
      <c r="I28" s="34" t="s">
        <v>116</v>
      </c>
    </row>
    <row r="29" spans="1:10" ht="14.25">
      <c r="A29" s="303" t="s">
        <v>356</v>
      </c>
      <c r="B29" s="55">
        <f>SUM(B30:B32)</f>
        <v>15000</v>
      </c>
      <c r="C29" s="55">
        <f>SUM(C30:C32)</f>
        <v>15000</v>
      </c>
      <c r="D29" s="55"/>
      <c r="E29" s="55">
        <f>SUM(E30:E32)</f>
        <v>15000</v>
      </c>
      <c r="F29" s="55">
        <f>SUM(F30:F32)</f>
        <v>0</v>
      </c>
      <c r="G29" s="249">
        <f>SUM(B29:F29)</f>
        <v>45000</v>
      </c>
      <c r="H29" s="43"/>
      <c r="I29" s="19"/>
      <c r="J29" s="296"/>
    </row>
    <row r="30" spans="1:9" ht="14.25">
      <c r="A30" s="132" t="s">
        <v>407</v>
      </c>
      <c r="B30" s="61"/>
      <c r="C30" s="61"/>
      <c r="D30" s="61"/>
      <c r="E30" s="61"/>
      <c r="F30" s="61"/>
      <c r="G30" s="249"/>
      <c r="H30" s="43"/>
      <c r="I30" s="19"/>
    </row>
    <row r="31" spans="1:10" ht="33.75">
      <c r="A31" s="19" t="s">
        <v>394</v>
      </c>
      <c r="B31" s="61">
        <f>5000*3</f>
        <v>15000</v>
      </c>
      <c r="C31" s="61"/>
      <c r="D31" s="61"/>
      <c r="E31" s="61">
        <f>5000*3</f>
        <v>15000</v>
      </c>
      <c r="F31" s="61"/>
      <c r="G31" s="254"/>
      <c r="H31" s="187"/>
      <c r="I31" s="19" t="s">
        <v>517</v>
      </c>
      <c r="J31" s="296"/>
    </row>
    <row r="32" spans="1:9" ht="42.75" customHeight="1">
      <c r="A32" s="189" t="s">
        <v>70</v>
      </c>
      <c r="B32" s="61"/>
      <c r="C32" s="61">
        <f>5000*3</f>
        <v>15000</v>
      </c>
      <c r="D32" s="61">
        <f>5000*3</f>
        <v>15000</v>
      </c>
      <c r="E32" s="61"/>
      <c r="F32" s="61"/>
      <c r="G32" s="253"/>
      <c r="H32" s="86"/>
      <c r="I32" s="217" t="s">
        <v>518</v>
      </c>
    </row>
    <row r="33" spans="1:9" ht="14.25">
      <c r="A33" s="34"/>
      <c r="B33" s="206"/>
      <c r="C33" s="206"/>
      <c r="D33" s="206"/>
      <c r="E33" s="206"/>
      <c r="F33" s="206"/>
      <c r="G33" s="251"/>
      <c r="H33" s="200"/>
      <c r="I33" s="201"/>
    </row>
    <row r="34" spans="1:11" ht="12.75">
      <c r="A34" s="303" t="s">
        <v>357</v>
      </c>
      <c r="B34" s="55">
        <f>SUM(B35:B36)</f>
        <v>31500</v>
      </c>
      <c r="C34" s="55">
        <f>SUM(C35:C36)</f>
        <v>5250</v>
      </c>
      <c r="D34" s="55"/>
      <c r="E34" s="55">
        <f>SUM(D35:D36)</f>
        <v>5250</v>
      </c>
      <c r="F34" s="55">
        <f>SUM(F35:F36)</f>
        <v>0</v>
      </c>
      <c r="G34" s="249">
        <f>SUM(B34:F34)</f>
        <v>42000</v>
      </c>
      <c r="H34" s="19"/>
      <c r="I34" s="19"/>
      <c r="J34" s="296"/>
      <c r="K34" s="267"/>
    </row>
    <row r="35" spans="1:10" ht="49.5" customHeight="1">
      <c r="A35" s="189" t="s">
        <v>98</v>
      </c>
      <c r="B35" s="61">
        <f>35000/500*150*3</f>
        <v>31500</v>
      </c>
      <c r="C35" s="61"/>
      <c r="D35" s="61"/>
      <c r="E35" s="61">
        <f>35000/500*150*3</f>
        <v>31500</v>
      </c>
      <c r="F35" s="61"/>
      <c r="G35" s="250"/>
      <c r="H35" s="43"/>
      <c r="I35" s="19" t="s">
        <v>515</v>
      </c>
      <c r="J35" s="300"/>
    </row>
    <row r="36" spans="1:11" ht="47.25" customHeight="1">
      <c r="A36" s="189" t="s">
        <v>99</v>
      </c>
      <c r="B36" s="61"/>
      <c r="C36" s="61">
        <f>(35000/500)*150*0.5</f>
        <v>5250</v>
      </c>
      <c r="D36" s="61">
        <f>(35000/500)*150*0.5</f>
        <v>5250</v>
      </c>
      <c r="E36" s="61"/>
      <c r="F36" s="61"/>
      <c r="G36" s="253"/>
      <c r="H36" s="86"/>
      <c r="I36" s="189" t="s">
        <v>229</v>
      </c>
      <c r="J36" s="300"/>
      <c r="K36" s="297"/>
    </row>
    <row r="37" spans="1:9" ht="14.25">
      <c r="A37" s="303" t="s">
        <v>358</v>
      </c>
      <c r="B37" s="55">
        <f>SUM(B38:B39)</f>
        <v>0</v>
      </c>
      <c r="C37" s="55">
        <f>SUM(C38:C39)</f>
        <v>0</v>
      </c>
      <c r="D37" s="55">
        <f>SUM(D38:D39)</f>
        <v>0</v>
      </c>
      <c r="E37" s="55">
        <f>SUM(E38:E39)</f>
        <v>0</v>
      </c>
      <c r="F37" s="55">
        <f>SUM(F38:F39)</f>
        <v>0</v>
      </c>
      <c r="G37" s="249">
        <f>SUM(B37:F37)</f>
        <v>0</v>
      </c>
      <c r="H37" s="19"/>
      <c r="I37" s="19"/>
    </row>
    <row r="38" spans="1:9" ht="14.25">
      <c r="A38" s="132" t="s">
        <v>408</v>
      </c>
      <c r="B38" s="61"/>
      <c r="C38" s="61"/>
      <c r="D38" s="61"/>
      <c r="E38" s="61"/>
      <c r="F38" s="61"/>
      <c r="G38" s="250"/>
      <c r="H38" s="43"/>
      <c r="I38" s="19"/>
    </row>
    <row r="39" spans="1:9" ht="14.25">
      <c r="A39" s="200"/>
      <c r="B39" s="206"/>
      <c r="C39" s="206"/>
      <c r="D39" s="206"/>
      <c r="E39" s="206"/>
      <c r="F39" s="206"/>
      <c r="G39" s="251"/>
      <c r="H39" s="200"/>
      <c r="I39" s="201"/>
    </row>
    <row r="40" spans="1:9" ht="14.25">
      <c r="A40" s="303" t="s">
        <v>355</v>
      </c>
      <c r="B40" s="55">
        <f>SUM(B41:B41)</f>
        <v>0</v>
      </c>
      <c r="C40" s="55">
        <f>SUM(C41:C41)</f>
        <v>0</v>
      </c>
      <c r="D40" s="55">
        <f>SUM(D41:D41)</f>
        <v>0</v>
      </c>
      <c r="E40" s="55">
        <f>SUM(E41:E41)</f>
        <v>0</v>
      </c>
      <c r="F40" s="55">
        <f>SUM(F41:F41)</f>
        <v>0</v>
      </c>
      <c r="G40" s="249">
        <f>SUM(B40:F40)</f>
        <v>0</v>
      </c>
      <c r="H40" s="19"/>
      <c r="I40" s="19"/>
    </row>
    <row r="41" spans="1:9" ht="14.25">
      <c r="A41" s="200"/>
      <c r="B41" s="206"/>
      <c r="C41" s="206"/>
      <c r="D41" s="206"/>
      <c r="E41" s="206"/>
      <c r="F41" s="206"/>
      <c r="G41" s="251"/>
      <c r="H41" s="200"/>
      <c r="I41" s="201"/>
    </row>
    <row r="42" spans="1:11" ht="14.25">
      <c r="A42" s="309" t="s">
        <v>429</v>
      </c>
      <c r="B42" s="249">
        <f aca="true" t="shared" si="0" ref="B42:G42">SUM(B40,B37,B34,B29,B21,B15,B12,B8)</f>
        <v>238500</v>
      </c>
      <c r="C42" s="249">
        <f t="shared" si="0"/>
        <v>102750</v>
      </c>
      <c r="D42" s="249">
        <f>SUM(D40,D37,E34,E29,E21,D15,D12,D8)</f>
        <v>185250</v>
      </c>
      <c r="E42" s="249">
        <f>SUM(E40+E37+E34+E29+E21+E15+E8)</f>
        <v>185250</v>
      </c>
      <c r="F42" s="249">
        <f t="shared" si="0"/>
        <v>0</v>
      </c>
      <c r="G42" s="249">
        <f t="shared" si="0"/>
        <v>594000</v>
      </c>
      <c r="H42" s="20"/>
      <c r="I42" s="19"/>
      <c r="K42" s="193"/>
    </row>
    <row r="43" spans="1:11" ht="15.75">
      <c r="A43" s="258"/>
      <c r="B43" s="255"/>
      <c r="C43" s="255"/>
      <c r="D43" s="255"/>
      <c r="E43" s="255"/>
      <c r="F43" s="255"/>
      <c r="G43" s="255"/>
      <c r="H43" s="203"/>
      <c r="I43" s="34"/>
      <c r="J43" s="306"/>
      <c r="K43" s="307"/>
    </row>
    <row r="44" spans="1:9" ht="14.25">
      <c r="A44" s="86"/>
      <c r="B44" s="86"/>
      <c r="C44" s="86"/>
      <c r="D44" s="86"/>
      <c r="E44" s="86"/>
      <c r="F44" s="86"/>
      <c r="G44" s="85"/>
      <c r="H44" s="187"/>
      <c r="I44" s="187"/>
    </row>
  </sheetData>
  <sheetProtection/>
  <mergeCells count="2">
    <mergeCell ref="B6:I6"/>
    <mergeCell ref="B5:I5"/>
  </mergeCells>
  <printOptions horizontalCentered="1"/>
  <pageMargins left="0.2362204724409449" right="0.2362204724409449" top="0.2362204724409449" bottom="0.5118110236220472" header="0" footer="0.2362204724409449"/>
  <pageSetup fitToHeight="1" fitToWidth="1" horizontalDpi="600" verticalDpi="600" orientation="landscape" paperSize="9" scale="53" r:id="rId2"/>
  <headerFooter alignWithMargins="0">
    <oddFooter>&amp;R&amp;8Page &amp;P of &amp;N
Rev: 04/15/05</oddFooter>
  </headerFooter>
  <drawing r:id="rId1"/>
</worksheet>
</file>

<file path=xl/worksheets/sheet13.xml><?xml version="1.0" encoding="utf-8"?>
<worksheet xmlns="http://schemas.openxmlformats.org/spreadsheetml/2006/main" xmlns:r="http://schemas.openxmlformats.org/officeDocument/2006/relationships">
  <sheetPr>
    <tabColor indexed="29"/>
    <pageSetUpPr fitToPage="1"/>
  </sheetPr>
  <dimension ref="A1:K41"/>
  <sheetViews>
    <sheetView view="pageBreakPreview" zoomScale="60" zoomScaleNormal="80" zoomScalePageLayoutView="0" workbookViewId="0" topLeftCell="A14">
      <selection activeCell="K14" sqref="J1:K16384"/>
    </sheetView>
  </sheetViews>
  <sheetFormatPr defaultColWidth="9.140625" defaultRowHeight="12.75"/>
  <cols>
    <col min="1" max="1" width="33.421875" style="312" customWidth="1"/>
    <col min="2" max="5" width="12.00390625" style="312" customWidth="1"/>
    <col min="6" max="6" width="11.421875" style="312" customWidth="1"/>
    <col min="7" max="7" width="12.28125" style="312" customWidth="1"/>
    <col min="8" max="8" width="9.140625" style="312" hidden="1" customWidth="1"/>
    <col min="9" max="9" width="36.421875" style="312" customWidth="1"/>
    <col min="10" max="10" width="11.00390625" style="295" customWidth="1"/>
    <col min="11" max="11" width="15.421875" style="1" customWidth="1"/>
    <col min="12" max="16384" width="9.140625" style="312" customWidth="1"/>
  </cols>
  <sheetData>
    <row r="1" spans="1:11" ht="18">
      <c r="A1" s="304" t="s">
        <v>165</v>
      </c>
      <c r="B1" s="1"/>
      <c r="C1" s="1"/>
      <c r="D1" s="1"/>
      <c r="E1" s="1"/>
      <c r="F1" s="1"/>
      <c r="G1" s="2"/>
      <c r="H1" s="311"/>
      <c r="I1" s="311"/>
      <c r="K1" s="305"/>
    </row>
    <row r="2" spans="1:9" ht="18">
      <c r="A2" s="304"/>
      <c r="B2" s="1"/>
      <c r="C2" s="1"/>
      <c r="D2" s="1"/>
      <c r="E2" s="1"/>
      <c r="F2" s="1"/>
      <c r="G2" s="2"/>
      <c r="H2" s="311"/>
      <c r="I2" s="311"/>
    </row>
    <row r="3" spans="1:9" ht="15">
      <c r="A3" s="47" t="s">
        <v>363</v>
      </c>
      <c r="B3" s="81" t="str">
        <f>'Major Activity 1'!B2</f>
        <v>UNDP</v>
      </c>
      <c r="C3" s="10"/>
      <c r="D3" s="10"/>
      <c r="E3" s="10"/>
      <c r="F3" s="10"/>
      <c r="G3" s="13"/>
      <c r="H3" s="311"/>
      <c r="I3" s="311"/>
    </row>
    <row r="4" spans="1:9" ht="15">
      <c r="A4" s="47" t="s">
        <v>364</v>
      </c>
      <c r="B4" s="182" t="str">
        <f>'Snapshot |15 Major Activities'!B3</f>
        <v>Expansion of Successful Poverty Reduction and Women’s Empowerment Model in West Africa Project Number 45498</v>
      </c>
      <c r="C4" s="182"/>
      <c r="D4" s="182"/>
      <c r="E4" s="182"/>
      <c r="F4" s="182"/>
      <c r="G4" s="182"/>
      <c r="H4" s="311"/>
      <c r="I4" s="311"/>
    </row>
    <row r="5" spans="1:11" s="86" customFormat="1" ht="28.5" customHeight="1">
      <c r="A5" s="49" t="s">
        <v>206</v>
      </c>
      <c r="B5" s="384" t="str">
        <f>'Snapshot |15 Major Activities'!B5:C5</f>
        <v>To strengthen human and institutional capacities, including expanding technology and financing options and strengthening knowledge management, in support of implementing national multifunctional platform programs</v>
      </c>
      <c r="C5" s="384"/>
      <c r="D5" s="384"/>
      <c r="E5" s="384"/>
      <c r="F5" s="384"/>
      <c r="G5" s="384"/>
      <c r="H5" s="384"/>
      <c r="I5" s="384"/>
      <c r="J5" s="295"/>
      <c r="K5" s="1"/>
    </row>
    <row r="6" spans="1:9" ht="15.75" thickBot="1">
      <c r="A6" s="48" t="s">
        <v>393</v>
      </c>
      <c r="B6" s="391" t="str">
        <f>'Basic Info'!C34</f>
        <v>Develop and disseminate national and sub regional communication/advocacy materials</v>
      </c>
      <c r="C6" s="391"/>
      <c r="D6" s="391"/>
      <c r="E6" s="391"/>
      <c r="F6" s="391"/>
      <c r="G6" s="391"/>
      <c r="H6" s="391"/>
      <c r="I6" s="391"/>
    </row>
    <row r="7" spans="1:11" ht="46.5">
      <c r="A7" s="53" t="s">
        <v>404</v>
      </c>
      <c r="B7" s="51" t="s">
        <v>405</v>
      </c>
      <c r="C7" s="51" t="s">
        <v>409</v>
      </c>
      <c r="D7" s="51" t="s">
        <v>410</v>
      </c>
      <c r="E7" s="51" t="s">
        <v>171</v>
      </c>
      <c r="F7" s="51" t="s">
        <v>169</v>
      </c>
      <c r="G7" s="248" t="s">
        <v>411</v>
      </c>
      <c r="H7" s="52" t="s">
        <v>374</v>
      </c>
      <c r="I7" s="54" t="s">
        <v>362</v>
      </c>
      <c r="J7" s="306"/>
      <c r="K7" s="307"/>
    </row>
    <row r="8" spans="1:11" ht="14.25">
      <c r="A8" s="303" t="s">
        <v>353</v>
      </c>
      <c r="B8" s="55">
        <f>SUM(B9:B11)</f>
        <v>56000</v>
      </c>
      <c r="C8" s="55">
        <f>SUM(C9:C11)</f>
        <v>24000</v>
      </c>
      <c r="D8" s="55">
        <f>SUM(D9:D11)</f>
        <v>56000</v>
      </c>
      <c r="E8" s="55">
        <f>SUM(E9:E11)</f>
        <v>24000</v>
      </c>
      <c r="F8" s="55">
        <f>SUM(F9:F11)</f>
        <v>0</v>
      </c>
      <c r="G8" s="249">
        <f>SUM(B8:F8)</f>
        <v>160000</v>
      </c>
      <c r="H8" s="19"/>
      <c r="I8" s="247"/>
      <c r="K8" s="267"/>
    </row>
    <row r="9" spans="1:9" ht="22.5">
      <c r="A9" s="19" t="s">
        <v>122</v>
      </c>
      <c r="B9" s="61">
        <f>3*8000</f>
        <v>24000</v>
      </c>
      <c r="C9" s="61">
        <f>3*8000</f>
        <v>24000</v>
      </c>
      <c r="D9" s="61">
        <f>3*8000</f>
        <v>24000</v>
      </c>
      <c r="E9" s="61">
        <f>3*8000</f>
        <v>24000</v>
      </c>
      <c r="F9" s="61">
        <v>0</v>
      </c>
      <c r="G9" s="250"/>
      <c r="H9" s="18"/>
      <c r="I9" s="11" t="s">
        <v>494</v>
      </c>
    </row>
    <row r="10" spans="1:9" ht="33.75">
      <c r="A10" s="11" t="s">
        <v>457</v>
      </c>
      <c r="B10" s="61">
        <f>1*4*8000</f>
        <v>32000</v>
      </c>
      <c r="C10" s="61"/>
      <c r="D10" s="61">
        <f>1*4*8000</f>
        <v>32000</v>
      </c>
      <c r="E10" s="61"/>
      <c r="F10" s="61"/>
      <c r="G10" s="261"/>
      <c r="H10" s="18"/>
      <c r="I10" s="11" t="s">
        <v>519</v>
      </c>
    </row>
    <row r="11" spans="1:9" ht="14.25">
      <c r="A11" s="245"/>
      <c r="B11" s="206"/>
      <c r="C11" s="206"/>
      <c r="D11" s="206"/>
      <c r="E11" s="206"/>
      <c r="F11" s="206"/>
      <c r="G11" s="251"/>
      <c r="H11" s="200"/>
      <c r="I11" s="226"/>
    </row>
    <row r="12" spans="1:10" ht="14.25">
      <c r="A12" s="303" t="s">
        <v>354</v>
      </c>
      <c r="B12" s="55">
        <f>SUM(B13:B15)</f>
        <v>0</v>
      </c>
      <c r="C12" s="55">
        <f>SUM(C13:C15)</f>
        <v>0</v>
      </c>
      <c r="D12" s="55">
        <f>SUM(D13:D15)</f>
        <v>0</v>
      </c>
      <c r="E12" s="55">
        <f>SUM(E13:E15)</f>
        <v>0</v>
      </c>
      <c r="F12" s="55">
        <f>SUM(F13:F15)</f>
        <v>0</v>
      </c>
      <c r="G12" s="249">
        <f>SUM(B12:F12)</f>
        <v>0</v>
      </c>
      <c r="H12" s="43"/>
      <c r="I12" s="19"/>
      <c r="J12" s="296"/>
    </row>
    <row r="13" spans="1:10" ht="14.25">
      <c r="A13" s="132" t="s">
        <v>406</v>
      </c>
      <c r="B13" s="61"/>
      <c r="C13" s="61"/>
      <c r="D13" s="61"/>
      <c r="E13" s="61"/>
      <c r="F13" s="61"/>
      <c r="G13" s="250"/>
      <c r="H13" s="43"/>
      <c r="I13" s="19"/>
      <c r="J13" s="296"/>
    </row>
    <row r="14" spans="1:10" ht="14.25">
      <c r="A14" s="132"/>
      <c r="B14" s="61"/>
      <c r="C14" s="61"/>
      <c r="D14" s="61"/>
      <c r="E14" s="61"/>
      <c r="F14" s="61"/>
      <c r="G14" s="250"/>
      <c r="H14" s="43"/>
      <c r="I14" s="19"/>
      <c r="J14" s="312"/>
    </row>
    <row r="15" spans="1:9" ht="14.25">
      <c r="A15" s="34"/>
      <c r="B15" s="207"/>
      <c r="C15" s="207"/>
      <c r="D15" s="207"/>
      <c r="E15" s="207"/>
      <c r="F15" s="207"/>
      <c r="G15" s="252"/>
      <c r="H15" s="44"/>
      <c r="I15" s="34"/>
    </row>
    <row r="16" spans="1:9" ht="21" customHeight="1">
      <c r="A16" s="310" t="s">
        <v>352</v>
      </c>
      <c r="B16" s="55">
        <f>SUM(B17:B20)</f>
        <v>0</v>
      </c>
      <c r="C16" s="55">
        <f>SUM(C17:C20)</f>
        <v>0</v>
      </c>
      <c r="D16" s="55">
        <f>SUM(D17:D20)</f>
        <v>0</v>
      </c>
      <c r="E16" s="55">
        <f>SUM(E17:E20)</f>
        <v>0</v>
      </c>
      <c r="F16" s="55">
        <f>SUM(F17:F20)</f>
        <v>0</v>
      </c>
      <c r="G16" s="249">
        <f>SUM(B16:F16)</f>
        <v>0</v>
      </c>
      <c r="H16" s="19"/>
      <c r="I16" s="218"/>
    </row>
    <row r="17" spans="1:9" ht="4.5" customHeight="1">
      <c r="A17" s="19"/>
      <c r="B17" s="61"/>
      <c r="C17" s="61"/>
      <c r="D17" s="61"/>
      <c r="E17" s="61"/>
      <c r="F17" s="61"/>
      <c r="G17" s="253"/>
      <c r="H17" s="1"/>
      <c r="I17" s="13"/>
    </row>
    <row r="18" spans="1:11" ht="6" customHeight="1">
      <c r="A18" s="19"/>
      <c r="B18" s="61"/>
      <c r="C18" s="61"/>
      <c r="D18" s="61"/>
      <c r="E18" s="61"/>
      <c r="F18" s="61"/>
      <c r="G18" s="253"/>
      <c r="H18" s="1"/>
      <c r="I18" s="13"/>
      <c r="K18" s="267"/>
    </row>
    <row r="19" spans="1:9" ht="8.25" customHeight="1">
      <c r="A19" s="19"/>
      <c r="B19" s="61"/>
      <c r="C19" s="61"/>
      <c r="D19" s="61"/>
      <c r="E19" s="61"/>
      <c r="F19" s="61"/>
      <c r="G19" s="261"/>
      <c r="H19" s="1"/>
      <c r="I19" s="13"/>
    </row>
    <row r="20" spans="1:11" ht="6" customHeight="1">
      <c r="A20" s="200"/>
      <c r="B20" s="206"/>
      <c r="C20" s="206"/>
      <c r="D20" s="206"/>
      <c r="E20" s="206"/>
      <c r="F20" s="206"/>
      <c r="G20" s="251"/>
      <c r="H20" s="200"/>
      <c r="I20" s="34"/>
      <c r="K20" s="267"/>
    </row>
    <row r="21" spans="1:9" ht="43.5" customHeight="1">
      <c r="A21" s="303" t="s">
        <v>359</v>
      </c>
      <c r="B21" s="55">
        <f>SUM(B22:B24)</f>
        <v>27000</v>
      </c>
      <c r="C21" s="55">
        <f>SUM(C22:C24)</f>
        <v>27000</v>
      </c>
      <c r="D21" s="55">
        <f>SUM(D22:D24)</f>
        <v>27000</v>
      </c>
      <c r="E21" s="55">
        <f>SUM(E22:E24)</f>
        <v>0</v>
      </c>
      <c r="F21" s="55">
        <f>SUM(F22:F24)</f>
        <v>0</v>
      </c>
      <c r="G21" s="249">
        <f>SUM(B21:F21)</f>
        <v>81000</v>
      </c>
      <c r="H21" s="19"/>
      <c r="I21" s="19"/>
    </row>
    <row r="22" spans="1:9" ht="14.25">
      <c r="A22" s="132" t="s">
        <v>406</v>
      </c>
      <c r="B22" s="204"/>
      <c r="C22" s="204"/>
      <c r="D22" s="204"/>
      <c r="E22" s="204"/>
      <c r="F22" s="204"/>
      <c r="G22" s="253"/>
      <c r="H22" s="86"/>
      <c r="I22" s="85"/>
    </row>
    <row r="23" spans="1:9" ht="33.75">
      <c r="A23" s="19" t="s">
        <v>443</v>
      </c>
      <c r="B23" s="61">
        <f>3000*3*3</f>
        <v>27000</v>
      </c>
      <c r="C23" s="61">
        <f>3000*3*3</f>
        <v>27000</v>
      </c>
      <c r="D23" s="61">
        <f>3000*3*3</f>
        <v>27000</v>
      </c>
      <c r="E23" s="61">
        <v>0</v>
      </c>
      <c r="F23" s="61">
        <v>0</v>
      </c>
      <c r="G23" s="253"/>
      <c r="H23" s="1"/>
      <c r="I23" s="189" t="s">
        <v>520</v>
      </c>
    </row>
    <row r="24" spans="1:11" ht="13.5" customHeight="1">
      <c r="A24" s="200"/>
      <c r="B24" s="206"/>
      <c r="C24" s="206"/>
      <c r="D24" s="206"/>
      <c r="E24" s="206"/>
      <c r="F24" s="206"/>
      <c r="G24" s="251"/>
      <c r="H24" s="200"/>
      <c r="I24" s="201"/>
      <c r="K24" s="267"/>
    </row>
    <row r="25" spans="1:9" ht="36.75" customHeight="1">
      <c r="A25" s="303" t="s">
        <v>356</v>
      </c>
      <c r="B25" s="55">
        <f>SUM(B26:B26)</f>
        <v>0</v>
      </c>
      <c r="C25" s="55">
        <f>SUM(C26:C26)</f>
        <v>0</v>
      </c>
      <c r="D25" s="55">
        <f>SUM(D26:D26)</f>
        <v>0</v>
      </c>
      <c r="E25" s="55">
        <f>SUM(E26:E26)</f>
        <v>0</v>
      </c>
      <c r="F25" s="55">
        <f>SUM(F26:F26)</f>
        <v>0</v>
      </c>
      <c r="G25" s="249">
        <f>SUM(B25:F25)</f>
        <v>0</v>
      </c>
      <c r="H25" s="43"/>
      <c r="I25" s="19"/>
    </row>
    <row r="26" spans="1:9" ht="14.25">
      <c r="A26" s="200"/>
      <c r="B26" s="206"/>
      <c r="C26" s="206"/>
      <c r="D26" s="206"/>
      <c r="E26" s="206"/>
      <c r="F26" s="206"/>
      <c r="G26" s="251"/>
      <c r="H26" s="200"/>
      <c r="I26" s="201"/>
    </row>
    <row r="27" spans="1:11" ht="12.75">
      <c r="A27" s="303" t="s">
        <v>357</v>
      </c>
      <c r="B27" s="55">
        <f>SUM(B28:B32)</f>
        <v>87400</v>
      </c>
      <c r="C27" s="55">
        <f>SUM(C28:C32)</f>
        <v>0</v>
      </c>
      <c r="D27" s="55">
        <f>SUM(D28:D32)</f>
        <v>87400</v>
      </c>
      <c r="E27" s="55">
        <f>SUM(E28:E32)</f>
        <v>0</v>
      </c>
      <c r="F27" s="55">
        <f>SUM(F28:F32)</f>
        <v>0</v>
      </c>
      <c r="G27" s="249">
        <f>SUM(B27:F27)</f>
        <v>174800</v>
      </c>
      <c r="H27" s="19"/>
      <c r="I27" s="19"/>
      <c r="J27" s="296"/>
      <c r="K27" s="267"/>
    </row>
    <row r="28" spans="1:9" ht="22.5">
      <c r="A28" s="19" t="s">
        <v>179</v>
      </c>
      <c r="B28" s="61">
        <f>(2000)+(100*4)+(30*250)*4</f>
        <v>32400</v>
      </c>
      <c r="C28" s="61"/>
      <c r="D28" s="61">
        <f>(2000)+(100*4)+(30*250)*4</f>
        <v>32400</v>
      </c>
      <c r="E28" s="61"/>
      <c r="F28" s="61">
        <v>0</v>
      </c>
      <c r="G28" s="262"/>
      <c r="H28" s="1"/>
      <c r="I28" s="189" t="s">
        <v>495</v>
      </c>
    </row>
    <row r="29" spans="1:9" ht="22.5">
      <c r="A29" s="19" t="s">
        <v>9</v>
      </c>
      <c r="B29" s="61">
        <f>1000*2*4</f>
        <v>8000</v>
      </c>
      <c r="C29" s="61"/>
      <c r="D29" s="61">
        <f>1000*2*4</f>
        <v>8000</v>
      </c>
      <c r="E29" s="61"/>
      <c r="F29" s="61">
        <v>0</v>
      </c>
      <c r="G29" s="262"/>
      <c r="H29" s="1"/>
      <c r="I29" s="189" t="s">
        <v>496</v>
      </c>
    </row>
    <row r="30" spans="1:9" ht="14.25">
      <c r="A30" s="19" t="s">
        <v>101</v>
      </c>
      <c r="B30" s="61">
        <f>7000</f>
        <v>7000</v>
      </c>
      <c r="C30" s="61"/>
      <c r="D30" s="61">
        <f>7000</f>
        <v>7000</v>
      </c>
      <c r="E30" s="61"/>
      <c r="F30" s="61">
        <v>0</v>
      </c>
      <c r="G30" s="262"/>
      <c r="H30" s="1"/>
      <c r="I30" s="189" t="s">
        <v>506</v>
      </c>
    </row>
    <row r="31" spans="1:10" ht="33.75">
      <c r="A31" s="189" t="s">
        <v>521</v>
      </c>
      <c r="B31" s="61">
        <f>10000*4</f>
        <v>40000</v>
      </c>
      <c r="C31" s="61"/>
      <c r="D31" s="61">
        <f>10000*4</f>
        <v>40000</v>
      </c>
      <c r="E31" s="61"/>
      <c r="F31" s="61">
        <v>0</v>
      </c>
      <c r="G31" s="262"/>
      <c r="H31" s="1"/>
      <c r="I31" s="19" t="s">
        <v>497</v>
      </c>
      <c r="J31" s="296"/>
    </row>
    <row r="32" spans="1:9" ht="14.25">
      <c r="A32" s="35"/>
      <c r="B32" s="196"/>
      <c r="C32" s="196"/>
      <c r="D32" s="196"/>
      <c r="E32" s="196"/>
      <c r="F32" s="196"/>
      <c r="G32" s="251"/>
      <c r="H32" s="35"/>
      <c r="I32" s="168"/>
    </row>
    <row r="33" spans="1:9" ht="14.25">
      <c r="A33" s="302" t="s">
        <v>358</v>
      </c>
      <c r="B33" s="176">
        <f>SUM(B34:B35)</f>
        <v>0</v>
      </c>
      <c r="C33" s="176">
        <f>SUM(C34:C35)</f>
        <v>0</v>
      </c>
      <c r="D33" s="176">
        <f>SUM(D34:D35)</f>
        <v>0</v>
      </c>
      <c r="E33" s="176">
        <f>SUM(E34:E35)</f>
        <v>0</v>
      </c>
      <c r="F33" s="176">
        <f>SUM(F34:F35)</f>
        <v>0</v>
      </c>
      <c r="G33" s="249">
        <f>SUM(B33:F33)</f>
        <v>0</v>
      </c>
      <c r="H33" s="11"/>
      <c r="I33" s="11"/>
    </row>
    <row r="34" spans="1:11" ht="12.75">
      <c r="A34" s="17" t="s">
        <v>408</v>
      </c>
      <c r="B34" s="56"/>
      <c r="C34" s="56"/>
      <c r="D34" s="56"/>
      <c r="E34" s="56"/>
      <c r="F34" s="56"/>
      <c r="G34" s="250"/>
      <c r="H34" s="18"/>
      <c r="I34" s="11"/>
      <c r="J34" s="296"/>
      <c r="K34" s="267"/>
    </row>
    <row r="35" spans="1:9" ht="14.25">
      <c r="A35" s="35"/>
      <c r="B35" s="196"/>
      <c r="C35" s="196"/>
      <c r="D35" s="196"/>
      <c r="E35" s="196"/>
      <c r="F35" s="196"/>
      <c r="G35" s="251"/>
      <c r="H35" s="35"/>
      <c r="I35" s="168"/>
    </row>
    <row r="36" spans="1:11" ht="14.25">
      <c r="A36" s="302" t="s">
        <v>355</v>
      </c>
      <c r="B36" s="176">
        <f>SUM(B37:B38)</f>
        <v>2500</v>
      </c>
      <c r="C36" s="176">
        <f>SUM(C37:C38)</f>
        <v>0</v>
      </c>
      <c r="D36" s="176">
        <f>SUM(D37:D38)</f>
        <v>0</v>
      </c>
      <c r="E36" s="176">
        <f>SUM(E37:E38)</f>
        <v>0</v>
      </c>
      <c r="F36" s="176">
        <f>SUM(F37:F38)</f>
        <v>0</v>
      </c>
      <c r="G36" s="249">
        <f>SUM(B36:F36)</f>
        <v>2500</v>
      </c>
      <c r="H36" s="11"/>
      <c r="I36" s="11"/>
      <c r="K36" s="297"/>
    </row>
    <row r="37" spans="1:9" ht="14.25">
      <c r="A37" s="17" t="s">
        <v>407</v>
      </c>
      <c r="B37" s="56"/>
      <c r="C37" s="56"/>
      <c r="D37" s="56"/>
      <c r="E37" s="56"/>
      <c r="F37" s="56"/>
      <c r="G37" s="250"/>
      <c r="H37" s="18"/>
      <c r="I37" s="11"/>
    </row>
    <row r="38" spans="1:9" ht="14.25">
      <c r="A38" s="11" t="s">
        <v>102</v>
      </c>
      <c r="B38" s="61">
        <f>5*500</f>
        <v>2500</v>
      </c>
      <c r="C38" s="61"/>
      <c r="D38" s="61"/>
      <c r="E38" s="61"/>
      <c r="F38" s="61"/>
      <c r="G38" s="254"/>
      <c r="H38" s="33"/>
      <c r="I38" s="4"/>
    </row>
    <row r="39" spans="1:9" ht="14.25">
      <c r="A39" s="23"/>
      <c r="B39" s="195"/>
      <c r="C39" s="196"/>
      <c r="D39" s="196"/>
      <c r="E39" s="196"/>
      <c r="F39" s="196"/>
      <c r="G39" s="251"/>
      <c r="H39" s="35"/>
      <c r="I39" s="168"/>
    </row>
    <row r="40" spans="1:11" ht="14.25">
      <c r="A40" s="309" t="s">
        <v>392</v>
      </c>
      <c r="B40" s="249">
        <f aca="true" t="shared" si="0" ref="B40:G40">SUM(B36,B33,B27,B25,B21,B16,B12,B8)</f>
        <v>172900</v>
      </c>
      <c r="C40" s="249">
        <f t="shared" si="0"/>
        <v>51000</v>
      </c>
      <c r="D40" s="249">
        <f t="shared" si="0"/>
        <v>170400</v>
      </c>
      <c r="E40" s="249">
        <f t="shared" si="0"/>
        <v>24000</v>
      </c>
      <c r="F40" s="249">
        <f t="shared" si="0"/>
        <v>0</v>
      </c>
      <c r="G40" s="249">
        <f t="shared" si="0"/>
        <v>418300</v>
      </c>
      <c r="H40" s="20"/>
      <c r="I40" s="11"/>
      <c r="K40" s="193"/>
    </row>
    <row r="41" spans="1:11" ht="15.75">
      <c r="A41" s="258"/>
      <c r="B41" s="255"/>
      <c r="C41" s="255"/>
      <c r="D41" s="255"/>
      <c r="E41" s="255"/>
      <c r="F41" s="255"/>
      <c r="G41" s="255"/>
      <c r="H41" s="27"/>
      <c r="I41" s="23"/>
      <c r="J41" s="306"/>
      <c r="K41" s="307"/>
    </row>
  </sheetData>
  <sheetProtection/>
  <mergeCells count="2">
    <mergeCell ref="B5:I5"/>
    <mergeCell ref="B6:I6"/>
  </mergeCells>
  <printOptions horizontalCentered="1"/>
  <pageMargins left="0.2362204724409449" right="0.2362204724409449" top="0.2362204724409449" bottom="0.5118110236220472" header="0" footer="0.2362204724409449"/>
  <pageSetup fitToHeight="1" fitToWidth="1" horizontalDpi="600" verticalDpi="600" orientation="landscape" paperSize="9" scale="74" r:id="rId2"/>
  <headerFooter alignWithMargins="0">
    <oddFooter>&amp;R&amp;8Page &amp;P of &amp;N
Rev: 04/15/05</oddFooter>
  </headerFooter>
  <drawing r:id="rId1"/>
</worksheet>
</file>

<file path=xl/worksheets/sheet14.xml><?xml version="1.0" encoding="utf-8"?>
<worksheet xmlns="http://schemas.openxmlformats.org/spreadsheetml/2006/main" xmlns:r="http://schemas.openxmlformats.org/officeDocument/2006/relationships">
  <sheetPr>
    <tabColor indexed="29"/>
    <pageSetUpPr fitToPage="1"/>
  </sheetPr>
  <dimension ref="A1:L45"/>
  <sheetViews>
    <sheetView zoomScale="80" zoomScaleNormal="80" zoomScalePageLayoutView="0" workbookViewId="0" topLeftCell="A20">
      <selection activeCell="J20" sqref="J1:L16384"/>
    </sheetView>
  </sheetViews>
  <sheetFormatPr defaultColWidth="9.140625" defaultRowHeight="12.75"/>
  <cols>
    <col min="1" max="1" width="33.7109375" style="311" customWidth="1"/>
    <col min="2" max="5" width="12.00390625" style="311" customWidth="1"/>
    <col min="6" max="6" width="11.421875" style="311" customWidth="1"/>
    <col min="7" max="7" width="12.421875" style="311" customWidth="1"/>
    <col min="8" max="8" width="9.140625" style="311" hidden="1" customWidth="1"/>
    <col min="9" max="9" width="28.28125" style="311" customWidth="1"/>
    <col min="10" max="10" width="7.421875" style="311" customWidth="1"/>
    <col min="11" max="11" width="11.00390625" style="295" customWidth="1"/>
    <col min="12" max="12" width="15.421875" style="1" customWidth="1"/>
    <col min="13" max="16384" width="9.140625" style="311" customWidth="1"/>
  </cols>
  <sheetData>
    <row r="1" spans="1:12" ht="18">
      <c r="A1" s="304" t="s">
        <v>165</v>
      </c>
      <c r="B1" s="86"/>
      <c r="C1" s="86"/>
      <c r="D1" s="86"/>
      <c r="E1" s="86"/>
      <c r="F1" s="86"/>
      <c r="G1" s="85"/>
      <c r="H1" s="312"/>
      <c r="I1" s="312"/>
      <c r="L1" s="305"/>
    </row>
    <row r="2" spans="1:9" ht="18">
      <c r="A2" s="304"/>
      <c r="B2" s="86"/>
      <c r="C2" s="86"/>
      <c r="D2" s="86"/>
      <c r="E2" s="86"/>
      <c r="F2" s="86"/>
      <c r="G2" s="85"/>
      <c r="H2" s="312"/>
      <c r="I2" s="312"/>
    </row>
    <row r="3" spans="1:9" ht="15">
      <c r="A3" s="211" t="s">
        <v>363</v>
      </c>
      <c r="B3" s="212" t="s">
        <v>225</v>
      </c>
      <c r="C3" s="205"/>
      <c r="D3" s="205"/>
      <c r="E3" s="205"/>
      <c r="F3" s="205"/>
      <c r="G3" s="189"/>
      <c r="H3" s="312"/>
      <c r="I3" s="312"/>
    </row>
    <row r="4" spans="1:9" ht="15">
      <c r="A4" s="211" t="s">
        <v>364</v>
      </c>
      <c r="B4" s="213" t="str">
        <f>'Snapshot |15 Major Activities'!B3</f>
        <v>Expansion of Successful Poverty Reduction and Women’s Empowerment Model in West Africa Project Number 45498</v>
      </c>
      <c r="C4" s="213"/>
      <c r="D4" s="213"/>
      <c r="E4" s="213"/>
      <c r="F4" s="213"/>
      <c r="G4" s="213"/>
      <c r="H4" s="312"/>
      <c r="I4" s="312"/>
    </row>
    <row r="5" spans="1:11" s="1" customFormat="1" ht="30.75" customHeight="1">
      <c r="A5" s="214" t="s">
        <v>206</v>
      </c>
      <c r="B5" s="390" t="str">
        <f>'Snapshot |15 Major Activities'!B5:C5</f>
        <v>To strengthen human and institutional capacities, including expanding technology and financing options and strengthening knowledge management, in support of implementing national multifunctional platform programs</v>
      </c>
      <c r="C5" s="390"/>
      <c r="D5" s="390"/>
      <c r="E5" s="390"/>
      <c r="F5" s="390"/>
      <c r="G5" s="390"/>
      <c r="H5" s="390"/>
      <c r="I5" s="390"/>
      <c r="K5" s="295"/>
    </row>
    <row r="6" spans="1:9" ht="15.75" thickBot="1">
      <c r="A6" s="215" t="s">
        <v>198</v>
      </c>
      <c r="B6" s="388" t="str">
        <f>'Basic Info'!C35</f>
        <v>Enhance knowledge codification and sharing to improve the effectiveness of MFP implementation</v>
      </c>
      <c r="C6" s="388"/>
      <c r="D6" s="388"/>
      <c r="E6" s="388"/>
      <c r="F6" s="388"/>
      <c r="G6" s="388"/>
      <c r="H6" s="388"/>
      <c r="I6" s="388"/>
    </row>
    <row r="7" spans="1:12" ht="46.5">
      <c r="A7" s="53" t="s">
        <v>404</v>
      </c>
      <c r="B7" s="51" t="s">
        <v>405</v>
      </c>
      <c r="C7" s="51" t="s">
        <v>409</v>
      </c>
      <c r="D7" s="51" t="s">
        <v>410</v>
      </c>
      <c r="E7" s="51" t="s">
        <v>171</v>
      </c>
      <c r="F7" s="51" t="s">
        <v>169</v>
      </c>
      <c r="G7" s="248" t="s">
        <v>411</v>
      </c>
      <c r="H7" s="52" t="s">
        <v>374</v>
      </c>
      <c r="I7" s="216" t="s">
        <v>362</v>
      </c>
      <c r="J7" s="239"/>
      <c r="K7" s="306"/>
      <c r="L7" s="307"/>
    </row>
    <row r="8" spans="1:12" ht="12.75" customHeight="1">
      <c r="A8" s="303" t="s">
        <v>353</v>
      </c>
      <c r="B8" s="55">
        <f>SUM(B9:B12)</f>
        <v>56000</v>
      </c>
      <c r="C8" s="55">
        <f>SUM(C9:C12)</f>
        <v>32000</v>
      </c>
      <c r="D8" s="55">
        <f>SUM(D9:D12)</f>
        <v>24000</v>
      </c>
      <c r="E8" s="55">
        <f>SUM(E9:E12)</f>
        <v>24000</v>
      </c>
      <c r="F8" s="55">
        <f>SUM(F9:F12)</f>
        <v>0</v>
      </c>
      <c r="G8" s="249">
        <f>SUM(B8:F8)</f>
        <v>136000</v>
      </c>
      <c r="H8" s="19"/>
      <c r="I8" s="19"/>
      <c r="L8" s="267"/>
    </row>
    <row r="9" spans="1:10" ht="14.25">
      <c r="A9" s="132" t="s">
        <v>399</v>
      </c>
      <c r="B9" s="61"/>
      <c r="C9" s="61"/>
      <c r="D9" s="61"/>
      <c r="E9" s="61"/>
      <c r="F9" s="61"/>
      <c r="G9" s="250"/>
      <c r="H9" s="43"/>
      <c r="I9" s="244"/>
      <c r="J9" s="314"/>
    </row>
    <row r="10" spans="1:10" ht="55.5" customHeight="1">
      <c r="A10" s="19" t="s">
        <v>59</v>
      </c>
      <c r="B10" s="61">
        <f>6*8000</f>
        <v>48000</v>
      </c>
      <c r="C10" s="61">
        <f>3*8000</f>
        <v>24000</v>
      </c>
      <c r="D10" s="61">
        <f>2*8000</f>
        <v>16000</v>
      </c>
      <c r="E10" s="61">
        <f>2*8000</f>
        <v>16000</v>
      </c>
      <c r="F10" s="61">
        <v>0</v>
      </c>
      <c r="G10" s="250"/>
      <c r="H10" s="18"/>
      <c r="I10" s="11" t="s">
        <v>498</v>
      </c>
      <c r="J10" s="314"/>
    </row>
    <row r="11" spans="1:10" ht="48.75" customHeight="1">
      <c r="A11" s="11" t="s">
        <v>230</v>
      </c>
      <c r="B11" s="61">
        <f>8000*1</f>
        <v>8000</v>
      </c>
      <c r="C11" s="61">
        <f>8000*1</f>
        <v>8000</v>
      </c>
      <c r="D11" s="61">
        <f>8000*1</f>
        <v>8000</v>
      </c>
      <c r="E11" s="61">
        <f>8000*1</f>
        <v>8000</v>
      </c>
      <c r="F11" s="61"/>
      <c r="G11" s="250"/>
      <c r="H11" s="18"/>
      <c r="I11" s="11" t="s">
        <v>220</v>
      </c>
      <c r="J11" s="315"/>
    </row>
    <row r="12" spans="1:11" ht="14.25">
      <c r="A12" s="200"/>
      <c r="B12" s="206"/>
      <c r="C12" s="206"/>
      <c r="D12" s="206"/>
      <c r="E12" s="206"/>
      <c r="F12" s="206"/>
      <c r="G12" s="251"/>
      <c r="H12" s="200"/>
      <c r="I12" s="226"/>
      <c r="J12" s="314"/>
      <c r="K12" s="296"/>
    </row>
    <row r="13" spans="1:11" ht="14.25">
      <c r="A13" s="303" t="s">
        <v>354</v>
      </c>
      <c r="B13" s="55">
        <f>SUM(B14:B15)</f>
        <v>0</v>
      </c>
      <c r="C13" s="55">
        <f>SUM(C14:C15)</f>
        <v>0</v>
      </c>
      <c r="D13" s="55">
        <f>SUM(D14:D15)</f>
        <v>0</v>
      </c>
      <c r="E13" s="55">
        <f>SUM(E14:E15)</f>
        <v>0</v>
      </c>
      <c r="F13" s="55">
        <f>SUM(F14:F15)</f>
        <v>0</v>
      </c>
      <c r="G13" s="249">
        <f>SUM(B13:F13)</f>
        <v>0</v>
      </c>
      <c r="H13" s="43"/>
      <c r="I13" s="19"/>
      <c r="J13" s="314"/>
      <c r="K13" s="296"/>
    </row>
    <row r="14" spans="1:11" ht="14.25">
      <c r="A14" s="132" t="s">
        <v>406</v>
      </c>
      <c r="B14" s="61"/>
      <c r="C14" s="61"/>
      <c r="D14" s="61"/>
      <c r="E14" s="61"/>
      <c r="F14" s="61"/>
      <c r="G14" s="250"/>
      <c r="H14" s="43"/>
      <c r="I14" s="19"/>
      <c r="J14" s="314"/>
      <c r="K14" s="312"/>
    </row>
    <row r="15" spans="1:10" ht="14.25">
      <c r="A15" s="34"/>
      <c r="B15" s="207"/>
      <c r="C15" s="207"/>
      <c r="D15" s="207"/>
      <c r="E15" s="207"/>
      <c r="F15" s="207"/>
      <c r="G15" s="252"/>
      <c r="H15" s="44"/>
      <c r="I15" s="34"/>
      <c r="J15" s="314"/>
    </row>
    <row r="16" spans="1:10" ht="15">
      <c r="A16" s="310" t="s">
        <v>352</v>
      </c>
      <c r="B16" s="55">
        <f>SUM(B17:B20)</f>
        <v>51000</v>
      </c>
      <c r="C16" s="55">
        <f>SUM(C17:C20)</f>
        <v>51000</v>
      </c>
      <c r="D16" s="55">
        <f>SUM(D17:D20)</f>
        <v>51000</v>
      </c>
      <c r="E16" s="55">
        <f>SUM(E17:E20)</f>
        <v>48500</v>
      </c>
      <c r="F16" s="55">
        <f>SUM(F17:F20)</f>
        <v>0</v>
      </c>
      <c r="G16" s="249">
        <f>SUM(B16:F16)</f>
        <v>201500</v>
      </c>
      <c r="H16" s="19"/>
      <c r="I16" s="19"/>
      <c r="J16" s="314"/>
    </row>
    <row r="17" spans="1:10" ht="21" customHeight="1">
      <c r="A17" s="19" t="s">
        <v>100</v>
      </c>
      <c r="B17" s="61">
        <f>3*2500</f>
        <v>7500</v>
      </c>
      <c r="C17" s="61">
        <f>3*2500</f>
        <v>7500</v>
      </c>
      <c r="D17" s="61">
        <f>3*2500</f>
        <v>7500</v>
      </c>
      <c r="E17" s="61">
        <f>2*2500</f>
        <v>5000</v>
      </c>
      <c r="F17" s="61">
        <v>0</v>
      </c>
      <c r="G17" s="253"/>
      <c r="H17" s="1"/>
      <c r="I17" s="13" t="s">
        <v>522</v>
      </c>
      <c r="J17" s="314"/>
    </row>
    <row r="18" spans="1:12" ht="43.5" customHeight="1">
      <c r="A18" s="19" t="s">
        <v>219</v>
      </c>
      <c r="B18" s="61">
        <f>2500*4*3</f>
        <v>30000</v>
      </c>
      <c r="C18" s="61">
        <f>2500*4*3</f>
        <v>30000</v>
      </c>
      <c r="D18" s="61">
        <f>2500*4*3</f>
        <v>30000</v>
      </c>
      <c r="E18" s="61">
        <f>2500*4*3</f>
        <v>30000</v>
      </c>
      <c r="F18" s="61"/>
      <c r="G18" s="250"/>
      <c r="H18" s="1"/>
      <c r="I18" s="13" t="s">
        <v>545</v>
      </c>
      <c r="J18" s="315"/>
      <c r="K18" s="300"/>
      <c r="L18" s="267"/>
    </row>
    <row r="19" spans="1:10" ht="14.25">
      <c r="A19" s="19"/>
      <c r="B19" s="61"/>
      <c r="C19" s="61"/>
      <c r="D19" s="61"/>
      <c r="E19" s="61"/>
      <c r="F19" s="61"/>
      <c r="G19" s="254"/>
      <c r="H19" s="33"/>
      <c r="I19" s="11"/>
      <c r="J19" s="314"/>
    </row>
    <row r="20" spans="1:12" ht="22.5">
      <c r="A20" s="19" t="s">
        <v>180</v>
      </c>
      <c r="B20" s="61">
        <f>1500*3*3</f>
        <v>13500</v>
      </c>
      <c r="C20" s="61">
        <f>1500*3*3</f>
        <v>13500</v>
      </c>
      <c r="D20" s="61">
        <f>1500*3*3</f>
        <v>13500</v>
      </c>
      <c r="E20" s="61">
        <f>1500*3*3</f>
        <v>13500</v>
      </c>
      <c r="F20" s="61">
        <v>0</v>
      </c>
      <c r="G20" s="264"/>
      <c r="H20" s="33"/>
      <c r="I20" s="11" t="s">
        <v>499</v>
      </c>
      <c r="J20" s="314"/>
      <c r="L20" s="267"/>
    </row>
    <row r="21" spans="1:10" ht="14.25">
      <c r="A21" s="34"/>
      <c r="B21" s="281"/>
      <c r="C21" s="207"/>
      <c r="D21" s="207"/>
      <c r="E21" s="207"/>
      <c r="F21" s="282"/>
      <c r="G21" s="283"/>
      <c r="H21" s="35"/>
      <c r="I21" s="23"/>
      <c r="J21" s="314"/>
    </row>
    <row r="22" spans="1:10" ht="14.25">
      <c r="A22" s="303" t="s">
        <v>359</v>
      </c>
      <c r="B22" s="55">
        <f>SUM(B23:B26)</f>
        <v>0</v>
      </c>
      <c r="C22" s="55">
        <f>SUM(C23:C26)</f>
        <v>0</v>
      </c>
      <c r="D22" s="55">
        <f>SUM(D23:D26)</f>
        <v>0</v>
      </c>
      <c r="E22" s="55">
        <f>SUM(E23:E26)</f>
        <v>0</v>
      </c>
      <c r="F22" s="55">
        <f>SUM(F23:F26)</f>
        <v>0</v>
      </c>
      <c r="G22" s="249">
        <f>SUM(B22:F22)</f>
        <v>0</v>
      </c>
      <c r="H22" s="19"/>
      <c r="I22" s="19"/>
      <c r="J22" s="314"/>
    </row>
    <row r="23" spans="1:10" ht="14.25">
      <c r="A23" s="132" t="s">
        <v>406</v>
      </c>
      <c r="B23" s="204"/>
      <c r="C23" s="204"/>
      <c r="D23" s="204"/>
      <c r="E23" s="204"/>
      <c r="F23" s="204"/>
      <c r="G23" s="253"/>
      <c r="H23" s="86"/>
      <c r="I23" s="189"/>
      <c r="J23" s="314"/>
    </row>
    <row r="24" spans="1:12" ht="14.25">
      <c r="A24" s="19"/>
      <c r="B24" s="61"/>
      <c r="C24" s="61"/>
      <c r="D24" s="61"/>
      <c r="E24" s="61"/>
      <c r="F24" s="61"/>
      <c r="G24" s="253"/>
      <c r="H24" s="1"/>
      <c r="I24" s="189"/>
      <c r="J24" s="314"/>
      <c r="L24" s="267"/>
    </row>
    <row r="25" spans="1:10" ht="14.25">
      <c r="A25" s="19"/>
      <c r="B25" s="61"/>
      <c r="C25" s="61"/>
      <c r="D25" s="61"/>
      <c r="E25" s="61"/>
      <c r="F25" s="61"/>
      <c r="G25" s="262"/>
      <c r="H25" s="1"/>
      <c r="I25" s="11"/>
      <c r="J25" s="314"/>
    </row>
    <row r="26" spans="1:10" ht="14.25">
      <c r="A26" s="200"/>
      <c r="B26" s="206"/>
      <c r="C26" s="206"/>
      <c r="D26" s="206"/>
      <c r="E26" s="206"/>
      <c r="F26" s="206"/>
      <c r="G26" s="251"/>
      <c r="H26" s="200"/>
      <c r="I26" s="34"/>
      <c r="J26" s="314"/>
    </row>
    <row r="27" spans="1:12" ht="12.75">
      <c r="A27" s="303" t="s">
        <v>356</v>
      </c>
      <c r="B27" s="55">
        <f>SUM(B28:B31)</f>
        <v>10000</v>
      </c>
      <c r="C27" s="55">
        <f>SUM(C28:C31)</f>
        <v>10000</v>
      </c>
      <c r="D27" s="55">
        <f>SUM(D28:D31)</f>
        <v>10000</v>
      </c>
      <c r="E27" s="55">
        <f>SUM(E28:E31)</f>
        <v>10000</v>
      </c>
      <c r="F27" s="55">
        <f>SUM(F28:F31)</f>
        <v>0</v>
      </c>
      <c r="G27" s="249">
        <f>SUM(B27:F27)</f>
        <v>40000</v>
      </c>
      <c r="H27" s="43"/>
      <c r="I27" s="19"/>
      <c r="J27" s="314"/>
      <c r="K27" s="296"/>
      <c r="L27" s="267"/>
    </row>
    <row r="28" spans="1:10" ht="14.25">
      <c r="A28" s="132" t="s">
        <v>407</v>
      </c>
      <c r="B28" s="61"/>
      <c r="C28" s="61"/>
      <c r="D28" s="61"/>
      <c r="E28" s="61"/>
      <c r="F28" s="61"/>
      <c r="G28" s="249"/>
      <c r="H28" s="43"/>
      <c r="I28" s="19"/>
      <c r="J28" s="314"/>
    </row>
    <row r="29" spans="1:9" ht="31.5" customHeight="1">
      <c r="A29" s="19" t="s">
        <v>395</v>
      </c>
      <c r="B29" s="61">
        <v>10000</v>
      </c>
      <c r="C29" s="61">
        <v>10000</v>
      </c>
      <c r="D29" s="61">
        <v>10000</v>
      </c>
      <c r="E29" s="61">
        <v>10000</v>
      </c>
      <c r="F29" s="61"/>
      <c r="G29" s="253"/>
      <c r="H29" s="86"/>
      <c r="I29" s="11" t="s">
        <v>487</v>
      </c>
    </row>
    <row r="30" spans="1:10" ht="13.5" customHeight="1">
      <c r="A30" s="19"/>
      <c r="B30" s="61"/>
      <c r="C30" s="61"/>
      <c r="D30" s="61"/>
      <c r="E30" s="61"/>
      <c r="F30" s="61"/>
      <c r="G30" s="253"/>
      <c r="H30" s="199"/>
      <c r="I30" s="189"/>
      <c r="J30" s="316"/>
    </row>
    <row r="31" spans="1:11" ht="14.25" customHeight="1">
      <c r="A31" s="200"/>
      <c r="B31" s="206"/>
      <c r="C31" s="206"/>
      <c r="D31" s="206"/>
      <c r="E31" s="206"/>
      <c r="F31" s="206"/>
      <c r="G31" s="251"/>
      <c r="H31" s="200"/>
      <c r="I31" s="34"/>
      <c r="J31" s="316"/>
      <c r="K31" s="296"/>
    </row>
    <row r="32" spans="1:10" ht="14.25">
      <c r="A32" s="303" t="s">
        <v>357</v>
      </c>
      <c r="B32" s="55">
        <f>SUM(B33:B37)</f>
        <v>52000</v>
      </c>
      <c r="C32" s="55">
        <f>SUM(C33:C37)</f>
        <v>52000</v>
      </c>
      <c r="D32" s="55">
        <f>SUM(D33:D37)</f>
        <v>52000</v>
      </c>
      <c r="E32" s="55">
        <f>SUM(E33:E37)</f>
        <v>52000</v>
      </c>
      <c r="F32" s="55">
        <f>SUM(F33:F37)</f>
        <v>0</v>
      </c>
      <c r="G32" s="249">
        <f>SUM(B32:F32)</f>
        <v>208000</v>
      </c>
      <c r="H32" s="19"/>
      <c r="I32" s="19"/>
      <c r="J32" s="316"/>
    </row>
    <row r="33" spans="1:10" ht="78.75">
      <c r="A33" s="19" t="s">
        <v>523</v>
      </c>
      <c r="B33" s="61">
        <f>6000*3</f>
        <v>18000</v>
      </c>
      <c r="C33" s="61">
        <f>6000*3</f>
        <v>18000</v>
      </c>
      <c r="D33" s="61">
        <f>6000*3</f>
        <v>18000</v>
      </c>
      <c r="E33" s="61">
        <f>6000*3</f>
        <v>18000</v>
      </c>
      <c r="F33" s="61">
        <v>0</v>
      </c>
      <c r="G33" s="253"/>
      <c r="H33" s="1"/>
      <c r="I33" s="189" t="s">
        <v>507</v>
      </c>
      <c r="J33" s="316"/>
    </row>
    <row r="34" spans="1:12" ht="22.5">
      <c r="A34" s="19" t="s">
        <v>181</v>
      </c>
      <c r="B34" s="61">
        <f>2000*12</f>
        <v>24000</v>
      </c>
      <c r="C34" s="61">
        <f>2000*12</f>
        <v>24000</v>
      </c>
      <c r="D34" s="61">
        <f>2000*12</f>
        <v>24000</v>
      </c>
      <c r="E34" s="61">
        <f>2000*12</f>
        <v>24000</v>
      </c>
      <c r="F34" s="61">
        <v>0</v>
      </c>
      <c r="G34" s="262"/>
      <c r="H34" s="1"/>
      <c r="I34" s="11"/>
      <c r="J34" s="316"/>
      <c r="L34" s="267"/>
    </row>
    <row r="35" spans="1:10" ht="14.25">
      <c r="A35" s="19"/>
      <c r="B35" s="61"/>
      <c r="C35" s="61"/>
      <c r="D35" s="61"/>
      <c r="E35" s="61"/>
      <c r="F35" s="61"/>
      <c r="G35" s="253"/>
      <c r="H35" s="86"/>
      <c r="I35" s="189"/>
      <c r="J35" s="316"/>
    </row>
    <row r="36" spans="1:12" ht="34.5" customHeight="1">
      <c r="A36" s="19" t="s">
        <v>546</v>
      </c>
      <c r="B36" s="61">
        <v>10000</v>
      </c>
      <c r="C36" s="61">
        <v>10000</v>
      </c>
      <c r="D36" s="61">
        <v>10000</v>
      </c>
      <c r="E36" s="61">
        <v>10000</v>
      </c>
      <c r="F36" s="61"/>
      <c r="G36" s="262"/>
      <c r="H36" s="1"/>
      <c r="I36" s="13" t="s">
        <v>489</v>
      </c>
      <c r="J36" s="315"/>
      <c r="L36" s="297"/>
    </row>
    <row r="37" spans="1:10" ht="14.25">
      <c r="A37" s="34"/>
      <c r="B37" s="207"/>
      <c r="C37" s="206"/>
      <c r="D37" s="206"/>
      <c r="E37" s="206"/>
      <c r="F37" s="207"/>
      <c r="G37" s="251"/>
      <c r="H37" s="200"/>
      <c r="I37" s="34"/>
      <c r="J37" s="314"/>
    </row>
    <row r="38" spans="1:10" ht="14.25">
      <c r="A38" s="303" t="s">
        <v>358</v>
      </c>
      <c r="B38" s="55">
        <f>SUM(B39:B40)</f>
        <v>0</v>
      </c>
      <c r="C38" s="55">
        <f>SUM(C39:C40)</f>
        <v>0</v>
      </c>
      <c r="D38" s="55">
        <f>SUM(D39:D40)</f>
        <v>0</v>
      </c>
      <c r="E38" s="55">
        <f>SUM(E39:E40)</f>
        <v>0</v>
      </c>
      <c r="F38" s="55">
        <f>SUM(F39:F40)</f>
        <v>0</v>
      </c>
      <c r="G38" s="249">
        <f>SUM(B38:F38)</f>
        <v>0</v>
      </c>
      <c r="H38" s="19"/>
      <c r="I38" s="19"/>
      <c r="J38" s="314"/>
    </row>
    <row r="39" spans="1:10" ht="14.25">
      <c r="A39" s="132" t="s">
        <v>408</v>
      </c>
      <c r="B39" s="61"/>
      <c r="C39" s="61"/>
      <c r="D39" s="61"/>
      <c r="E39" s="61"/>
      <c r="F39" s="61"/>
      <c r="G39" s="250"/>
      <c r="H39" s="43"/>
      <c r="I39" s="19"/>
      <c r="J39" s="314"/>
    </row>
    <row r="40" spans="1:10" ht="14.25">
      <c r="A40" s="34"/>
      <c r="B40" s="207"/>
      <c r="C40" s="206"/>
      <c r="D40" s="206"/>
      <c r="E40" s="206"/>
      <c r="F40" s="206"/>
      <c r="G40" s="251"/>
      <c r="H40" s="200"/>
      <c r="I40" s="201"/>
      <c r="J40" s="314"/>
    </row>
    <row r="41" spans="1:10" ht="14.25">
      <c r="A41" s="303" t="s">
        <v>355</v>
      </c>
      <c r="B41" s="55">
        <v>0</v>
      </c>
      <c r="C41" s="55">
        <f>SUM(C42:C43)</f>
        <v>0</v>
      </c>
      <c r="D41" s="55">
        <f>SUM(D42:D43)</f>
        <v>0</v>
      </c>
      <c r="E41" s="55">
        <f>SUM(E42:E43)</f>
        <v>0</v>
      </c>
      <c r="F41" s="55">
        <f>SUM(F42:F43)</f>
        <v>0</v>
      </c>
      <c r="G41" s="249">
        <f>SUM(B41:F41)</f>
        <v>0</v>
      </c>
      <c r="H41" s="19"/>
      <c r="I41" s="19"/>
      <c r="J41" s="314"/>
    </row>
    <row r="42" spans="1:9" ht="14.25">
      <c r="A42" s="132" t="s">
        <v>407</v>
      </c>
      <c r="B42" s="61"/>
      <c r="C42" s="61"/>
      <c r="D42" s="61"/>
      <c r="E42" s="61"/>
      <c r="F42" s="61"/>
      <c r="G42" s="250"/>
      <c r="H42" s="43"/>
      <c r="I42" s="19"/>
    </row>
    <row r="43" spans="1:9" ht="14.25">
      <c r="A43" s="200"/>
      <c r="B43" s="206"/>
      <c r="C43" s="206"/>
      <c r="D43" s="206"/>
      <c r="E43" s="206"/>
      <c r="F43" s="206"/>
      <c r="G43" s="251"/>
      <c r="H43" s="200"/>
      <c r="I43" s="201"/>
    </row>
    <row r="44" spans="1:12" ht="14.25">
      <c r="A44" s="309" t="s">
        <v>430</v>
      </c>
      <c r="B44" s="249">
        <f aca="true" t="shared" si="0" ref="B44:G44">SUM(B41,B38,B32,B27,B22,B16,B13,B8)</f>
        <v>169000</v>
      </c>
      <c r="C44" s="249">
        <f t="shared" si="0"/>
        <v>145000</v>
      </c>
      <c r="D44" s="249">
        <f t="shared" si="0"/>
        <v>137000</v>
      </c>
      <c r="E44" s="249">
        <f t="shared" si="0"/>
        <v>134500</v>
      </c>
      <c r="F44" s="249">
        <f t="shared" si="0"/>
        <v>0</v>
      </c>
      <c r="G44" s="249">
        <f t="shared" si="0"/>
        <v>585500</v>
      </c>
      <c r="H44" s="20"/>
      <c r="I44" s="19"/>
      <c r="L44" s="193"/>
    </row>
    <row r="45" spans="1:12" ht="15.75">
      <c r="A45" s="258"/>
      <c r="B45" s="263"/>
      <c r="C45" s="263"/>
      <c r="D45" s="263"/>
      <c r="E45" s="263"/>
      <c r="F45" s="263"/>
      <c r="G45" s="263"/>
      <c r="H45" s="203"/>
      <c r="I45" s="34"/>
      <c r="K45" s="306"/>
      <c r="L45" s="307"/>
    </row>
  </sheetData>
  <sheetProtection/>
  <mergeCells count="2">
    <mergeCell ref="B6:I6"/>
    <mergeCell ref="B5:I5"/>
  </mergeCells>
  <printOptions horizontalCentered="1"/>
  <pageMargins left="0.2362204724409449" right="0.2362204724409449" top="0.2362204724409449" bottom="0.5118110236220472" header="0" footer="0.2362204724409449"/>
  <pageSetup fitToHeight="1" fitToWidth="1" horizontalDpi="600" verticalDpi="600" orientation="landscape" paperSize="9" scale="93"/>
  <headerFooter alignWithMargins="0">
    <oddFooter>&amp;R&amp;8Page &amp;P of &amp;N
Rev: 04/15/05</oddFooter>
  </headerFooter>
  <rowBreaks count="1" manualBreakCount="1">
    <brk id="30" max="255" man="1"/>
  </rowBreaks>
  <drawing r:id="rId1"/>
</worksheet>
</file>

<file path=xl/worksheets/sheet15.xml><?xml version="1.0" encoding="utf-8"?>
<worksheet xmlns="http://schemas.openxmlformats.org/spreadsheetml/2006/main" xmlns:r="http://schemas.openxmlformats.org/officeDocument/2006/relationships">
  <sheetPr>
    <tabColor indexed="29"/>
    <pageSetUpPr fitToPage="1"/>
  </sheetPr>
  <dimension ref="A1:M46"/>
  <sheetViews>
    <sheetView view="pageBreakPreview" zoomScale="60" zoomScaleNormal="80" zoomScalePageLayoutView="0" workbookViewId="0" topLeftCell="A1">
      <selection activeCell="I45" sqref="A1:I45"/>
    </sheetView>
  </sheetViews>
  <sheetFormatPr defaultColWidth="9.140625" defaultRowHeight="12.75"/>
  <cols>
    <col min="1" max="1" width="34.00390625" style="312" customWidth="1"/>
    <col min="2" max="5" width="12.00390625" style="312" customWidth="1"/>
    <col min="6" max="6" width="11.421875" style="312" customWidth="1"/>
    <col min="7" max="7" width="12.421875" style="312" customWidth="1"/>
    <col min="8" max="8" width="9.140625" style="312" hidden="1" customWidth="1"/>
    <col min="9" max="9" width="31.00390625" style="312" customWidth="1"/>
    <col min="10" max="10" width="11.00390625" style="295" customWidth="1"/>
    <col min="11" max="11" width="15.421875" style="1" customWidth="1"/>
    <col min="12" max="16384" width="9.140625" style="312" customWidth="1"/>
  </cols>
  <sheetData>
    <row r="1" spans="1:11" ht="18">
      <c r="A1" s="304" t="s">
        <v>165</v>
      </c>
      <c r="B1" s="86"/>
      <c r="C1" s="86"/>
      <c r="D1" s="86"/>
      <c r="E1" s="86"/>
      <c r="F1" s="86"/>
      <c r="G1" s="85"/>
      <c r="H1" s="354"/>
      <c r="I1" s="209"/>
      <c r="K1" s="305"/>
    </row>
    <row r="2" spans="1:9" ht="18">
      <c r="A2" s="304"/>
      <c r="B2" s="86"/>
      <c r="C2" s="86"/>
      <c r="D2" s="86"/>
      <c r="E2" s="86"/>
      <c r="F2" s="86"/>
      <c r="G2" s="85"/>
      <c r="H2" s="354"/>
      <c r="I2" s="209"/>
    </row>
    <row r="3" spans="1:9" ht="15">
      <c r="A3" s="211" t="s">
        <v>363</v>
      </c>
      <c r="B3" s="212" t="s">
        <v>225</v>
      </c>
      <c r="C3" s="205"/>
      <c r="D3" s="205"/>
      <c r="E3" s="205"/>
      <c r="F3" s="205"/>
      <c r="G3" s="189"/>
      <c r="H3" s="354"/>
      <c r="I3" s="209"/>
    </row>
    <row r="4" spans="1:9" ht="15">
      <c r="A4" s="211" t="s">
        <v>364</v>
      </c>
      <c r="B4" s="213" t="str">
        <f>'Snapshot |15 Major Activities'!B3</f>
        <v>Expansion of Successful Poverty Reduction and Women’s Empowerment Model in West Africa Project Number 45498</v>
      </c>
      <c r="C4" s="213"/>
      <c r="D4" s="213"/>
      <c r="E4" s="213"/>
      <c r="F4" s="213"/>
      <c r="G4" s="213"/>
      <c r="H4" s="354"/>
      <c r="I4" s="209"/>
    </row>
    <row r="5" spans="1:11" s="86" customFormat="1" ht="31.5" customHeight="1">
      <c r="A5" s="214" t="s">
        <v>206</v>
      </c>
      <c r="B5" s="390" t="str">
        <f>'Snapshot |15 Major Activities'!B5:C5</f>
        <v>To strengthen human and institutional capacities, including expanding technology and financing options and strengthening knowledge management, in support of implementing national multifunctional platform programs</v>
      </c>
      <c r="C5" s="390"/>
      <c r="D5" s="390"/>
      <c r="E5" s="390"/>
      <c r="F5" s="390"/>
      <c r="G5" s="390"/>
      <c r="H5" s="390"/>
      <c r="I5" s="390"/>
      <c r="J5" s="295"/>
      <c r="K5" s="1"/>
    </row>
    <row r="6" spans="1:9" ht="30.75" customHeight="1" thickBot="1">
      <c r="A6" s="215" t="s">
        <v>199</v>
      </c>
      <c r="B6" s="388" t="str">
        <f>'Basic Info'!C36</f>
        <v>Develop and update operational toolkits and user guides, covering 20 different modules, including installing/operating  new technologies, accessing micro-credit, conducting  feasibilities studies, business formulation, M&amp;E, gender, etc</v>
      </c>
      <c r="C6" s="388"/>
      <c r="D6" s="388"/>
      <c r="E6" s="388"/>
      <c r="F6" s="388"/>
      <c r="G6" s="388"/>
      <c r="H6" s="388"/>
      <c r="I6" s="388"/>
    </row>
    <row r="7" spans="1:11" ht="46.5">
      <c r="A7" s="53" t="s">
        <v>404</v>
      </c>
      <c r="B7" s="51" t="s">
        <v>405</v>
      </c>
      <c r="C7" s="51" t="s">
        <v>409</v>
      </c>
      <c r="D7" s="51" t="s">
        <v>410</v>
      </c>
      <c r="E7" s="51" t="s">
        <v>171</v>
      </c>
      <c r="F7" s="51" t="s">
        <v>169</v>
      </c>
      <c r="G7" s="248" t="s">
        <v>411</v>
      </c>
      <c r="H7" s="52" t="s">
        <v>374</v>
      </c>
      <c r="I7" s="221" t="s">
        <v>362</v>
      </c>
      <c r="J7" s="306"/>
      <c r="K7" s="307"/>
    </row>
    <row r="8" spans="1:11" ht="14.25">
      <c r="A8" s="303" t="s">
        <v>353</v>
      </c>
      <c r="B8" s="55">
        <f>SUM(B9:B12)</f>
        <v>32000</v>
      </c>
      <c r="C8" s="55">
        <f>SUM(C9:C12)</f>
        <v>56000</v>
      </c>
      <c r="D8" s="55">
        <f>SUM(D9:D12)</f>
        <v>48000</v>
      </c>
      <c r="E8" s="55">
        <f>SUM(E9:E12)</f>
        <v>48000</v>
      </c>
      <c r="F8" s="55">
        <f>SUM(F9:F12)</f>
        <v>0</v>
      </c>
      <c r="G8" s="249">
        <f>SUM(B8:F8)</f>
        <v>184000</v>
      </c>
      <c r="H8" s="19"/>
      <c r="I8" s="179"/>
      <c r="K8" s="267"/>
    </row>
    <row r="9" spans="1:9" ht="14.25">
      <c r="A9" s="132" t="s">
        <v>399</v>
      </c>
      <c r="B9" s="355"/>
      <c r="C9" s="355"/>
      <c r="D9" s="355"/>
      <c r="E9" s="355"/>
      <c r="F9" s="355"/>
      <c r="G9" s="356"/>
      <c r="H9" s="357"/>
      <c r="I9" s="179"/>
    </row>
    <row r="10" spans="1:9" ht="31.5" customHeight="1">
      <c r="A10" s="11" t="s">
        <v>104</v>
      </c>
      <c r="B10" s="61">
        <f>4*8000</f>
        <v>32000</v>
      </c>
      <c r="C10" s="61">
        <f>4*8000</f>
        <v>32000</v>
      </c>
      <c r="D10" s="61">
        <f>3*8000</f>
        <v>24000</v>
      </c>
      <c r="E10" s="61">
        <f>3*8000</f>
        <v>24000</v>
      </c>
      <c r="F10" s="61"/>
      <c r="G10" s="250"/>
      <c r="H10" s="18"/>
      <c r="I10" s="11" t="s">
        <v>456</v>
      </c>
    </row>
    <row r="11" spans="1:9" ht="48" customHeight="1">
      <c r="A11" s="11" t="s">
        <v>540</v>
      </c>
      <c r="B11" s="61"/>
      <c r="C11" s="61">
        <f>3*8000</f>
        <v>24000</v>
      </c>
      <c r="D11" s="61">
        <f>3*8000</f>
        <v>24000</v>
      </c>
      <c r="E11" s="61">
        <f>3*8000</f>
        <v>24000</v>
      </c>
      <c r="F11" s="61"/>
      <c r="G11" s="250"/>
      <c r="H11" s="18"/>
      <c r="I11" s="11" t="s">
        <v>500</v>
      </c>
    </row>
    <row r="12" spans="1:10" ht="14.25">
      <c r="A12" s="358"/>
      <c r="B12" s="206"/>
      <c r="C12" s="206"/>
      <c r="D12" s="206"/>
      <c r="E12" s="206"/>
      <c r="F12" s="206"/>
      <c r="G12" s="251"/>
      <c r="H12" s="358"/>
      <c r="I12" s="202"/>
      <c r="J12" s="296"/>
    </row>
    <row r="13" spans="1:10" ht="14.25">
      <c r="A13" s="303" t="s">
        <v>354</v>
      </c>
      <c r="B13" s="55">
        <f>SUM(B14:B16)</f>
        <v>0</v>
      </c>
      <c r="C13" s="55">
        <f>SUM(C14:C16)</f>
        <v>0</v>
      </c>
      <c r="D13" s="55">
        <f>SUM(D14:D16)</f>
        <v>0</v>
      </c>
      <c r="E13" s="55">
        <f>SUM(E14:E16)</f>
        <v>0</v>
      </c>
      <c r="F13" s="55">
        <f>SUM(F14:F16)</f>
        <v>0</v>
      </c>
      <c r="G13" s="249">
        <f>SUM(B13:F13)</f>
        <v>0</v>
      </c>
      <c r="H13" s="43"/>
      <c r="I13" s="179"/>
      <c r="J13" s="296"/>
    </row>
    <row r="14" spans="1:10" ht="14.25">
      <c r="A14" s="132" t="s">
        <v>406</v>
      </c>
      <c r="B14" s="355"/>
      <c r="C14" s="355"/>
      <c r="D14" s="355"/>
      <c r="E14" s="355"/>
      <c r="F14" s="355"/>
      <c r="G14" s="356"/>
      <c r="H14" s="357"/>
      <c r="I14" s="179"/>
      <c r="J14" s="312"/>
    </row>
    <row r="15" spans="1:9" ht="14.25">
      <c r="A15" s="132"/>
      <c r="B15" s="355"/>
      <c r="C15" s="355"/>
      <c r="D15" s="355"/>
      <c r="E15" s="355"/>
      <c r="F15" s="355"/>
      <c r="G15" s="356"/>
      <c r="H15" s="357"/>
      <c r="I15" s="179"/>
    </row>
    <row r="16" spans="1:13" ht="14.25">
      <c r="A16" s="34"/>
      <c r="B16" s="207"/>
      <c r="C16" s="207"/>
      <c r="D16" s="207"/>
      <c r="E16" s="207"/>
      <c r="F16" s="207"/>
      <c r="G16" s="252"/>
      <c r="H16" s="44"/>
      <c r="I16" s="202"/>
      <c r="L16" s="317"/>
      <c r="M16" s="317"/>
    </row>
    <row r="17" spans="1:13" ht="15">
      <c r="A17" s="310" t="s">
        <v>352</v>
      </c>
      <c r="B17" s="55">
        <f>SUM(B18:B23)</f>
        <v>0</v>
      </c>
      <c r="C17" s="55">
        <f>SUM(C18:C23)</f>
        <v>27000</v>
      </c>
      <c r="D17" s="55">
        <f>SUM(D18:D23)</f>
        <v>27000</v>
      </c>
      <c r="E17" s="55">
        <f>SUM(E18:E23)</f>
        <v>27000</v>
      </c>
      <c r="F17" s="55">
        <f>SUM(F18:F23)</f>
        <v>0</v>
      </c>
      <c r="G17" s="249">
        <f>SUM(B17:F17)</f>
        <v>81000</v>
      </c>
      <c r="H17" s="19"/>
      <c r="I17" s="179"/>
      <c r="L17" s="317"/>
      <c r="M17" s="317"/>
    </row>
    <row r="18" spans="1:13" ht="12.75" customHeight="1">
      <c r="A18" s="19"/>
      <c r="B18" s="61"/>
      <c r="C18" s="61"/>
      <c r="D18" s="61"/>
      <c r="E18" s="61"/>
      <c r="F18" s="61"/>
      <c r="G18" s="261"/>
      <c r="H18" s="359"/>
      <c r="I18" s="13"/>
      <c r="K18" s="267"/>
      <c r="L18" s="150"/>
      <c r="M18" s="150"/>
    </row>
    <row r="19" spans="1:13" ht="3" customHeight="1">
      <c r="A19" s="19"/>
      <c r="B19" s="61"/>
      <c r="C19" s="61"/>
      <c r="D19" s="61"/>
      <c r="E19" s="61"/>
      <c r="F19" s="61"/>
      <c r="G19" s="253"/>
      <c r="H19" s="359"/>
      <c r="I19" s="13"/>
      <c r="L19" s="150"/>
      <c r="M19" s="150"/>
    </row>
    <row r="20" spans="1:13" ht="5.25" customHeight="1">
      <c r="A20" s="19"/>
      <c r="B20" s="61"/>
      <c r="C20" s="61"/>
      <c r="D20" s="61"/>
      <c r="E20" s="61"/>
      <c r="F20" s="61"/>
      <c r="G20" s="253"/>
      <c r="H20" s="359"/>
      <c r="I20" s="13"/>
      <c r="K20" s="267"/>
      <c r="L20" s="150"/>
      <c r="M20" s="150"/>
    </row>
    <row r="21" spans="1:13" ht="6.75" customHeight="1">
      <c r="A21" s="19"/>
      <c r="B21" s="61"/>
      <c r="C21" s="61"/>
      <c r="D21" s="61"/>
      <c r="E21" s="61"/>
      <c r="F21" s="61"/>
      <c r="G21" s="253"/>
      <c r="H21" s="359"/>
      <c r="I21" s="13"/>
      <c r="L21" s="150"/>
      <c r="M21" s="150"/>
    </row>
    <row r="22" spans="1:13" ht="33" customHeight="1">
      <c r="A22" s="19" t="s">
        <v>231</v>
      </c>
      <c r="B22" s="61"/>
      <c r="C22" s="61">
        <f>1500*3*3*2</f>
        <v>27000</v>
      </c>
      <c r="D22" s="61">
        <f>1500*3*3*2</f>
        <v>27000</v>
      </c>
      <c r="E22" s="61">
        <f>1500*3*3*2</f>
        <v>27000</v>
      </c>
      <c r="F22" s="61"/>
      <c r="G22" s="253"/>
      <c r="H22" s="359"/>
      <c r="I22" s="13" t="s">
        <v>232</v>
      </c>
      <c r="L22" s="111"/>
      <c r="M22" s="111"/>
    </row>
    <row r="23" spans="1:13" ht="14.25">
      <c r="A23" s="358"/>
      <c r="B23" s="206"/>
      <c r="C23" s="206"/>
      <c r="D23" s="206"/>
      <c r="E23" s="206"/>
      <c r="F23" s="206"/>
      <c r="G23" s="251"/>
      <c r="H23" s="358"/>
      <c r="I23" s="202"/>
      <c r="L23" s="150"/>
      <c r="M23" s="150"/>
    </row>
    <row r="24" spans="1:13" ht="14.25">
      <c r="A24" s="303" t="s">
        <v>359</v>
      </c>
      <c r="B24" s="55">
        <f>SUM(B25:B28)</f>
        <v>27000</v>
      </c>
      <c r="C24" s="55">
        <f>SUM(C25:C28)</f>
        <v>57000</v>
      </c>
      <c r="D24" s="55">
        <f>SUM(D25:D28)</f>
        <v>42000</v>
      </c>
      <c r="E24" s="55">
        <f>SUM(E25:E28)</f>
        <v>27000</v>
      </c>
      <c r="F24" s="55">
        <f>SUM(F25:F28)</f>
        <v>0</v>
      </c>
      <c r="G24" s="249">
        <f>SUM(B24:F24)</f>
        <v>153000</v>
      </c>
      <c r="H24" s="19"/>
      <c r="I24" s="179"/>
      <c r="K24" s="267"/>
      <c r="L24" s="150"/>
      <c r="M24" s="150"/>
    </row>
    <row r="25" spans="1:13" ht="14.25" customHeight="1">
      <c r="A25" s="19"/>
      <c r="B25" s="61"/>
      <c r="C25" s="61"/>
      <c r="D25" s="61"/>
      <c r="E25" s="61"/>
      <c r="F25" s="61"/>
      <c r="G25" s="262"/>
      <c r="H25" s="359"/>
      <c r="I25" s="189"/>
      <c r="L25" s="150"/>
      <c r="M25" s="150"/>
    </row>
    <row r="26" spans="1:9" ht="24">
      <c r="A26" s="205" t="s">
        <v>86</v>
      </c>
      <c r="B26" s="204"/>
      <c r="C26" s="204">
        <v>30000</v>
      </c>
      <c r="D26" s="204">
        <v>15000</v>
      </c>
      <c r="E26" s="204"/>
      <c r="F26" s="204"/>
      <c r="G26" s="253"/>
      <c r="H26" s="359"/>
      <c r="I26" s="180" t="s">
        <v>336</v>
      </c>
    </row>
    <row r="27" spans="1:11" ht="48">
      <c r="A27" s="19" t="s">
        <v>327</v>
      </c>
      <c r="B27" s="61">
        <f>3000*3*3</f>
        <v>27000</v>
      </c>
      <c r="C27" s="61">
        <f>3000*3*3</f>
        <v>27000</v>
      </c>
      <c r="D27" s="61">
        <f>3000*3*3</f>
        <v>27000</v>
      </c>
      <c r="E27" s="61">
        <f>3000*3*3</f>
        <v>27000</v>
      </c>
      <c r="F27" s="61"/>
      <c r="G27" s="253"/>
      <c r="H27" s="360"/>
      <c r="I27" s="180" t="s">
        <v>121</v>
      </c>
      <c r="J27" s="296"/>
      <c r="K27" s="267"/>
    </row>
    <row r="28" spans="1:9" ht="14.25">
      <c r="A28" s="200"/>
      <c r="B28" s="206"/>
      <c r="C28" s="206"/>
      <c r="D28" s="206"/>
      <c r="E28" s="206"/>
      <c r="F28" s="206"/>
      <c r="G28" s="251"/>
      <c r="H28" s="358"/>
      <c r="I28" s="202"/>
    </row>
    <row r="29" spans="1:9" ht="36.75" customHeight="1">
      <c r="A29" s="303" t="s">
        <v>356</v>
      </c>
      <c r="B29" s="55">
        <f>SUM(B30:B31)</f>
        <v>0</v>
      </c>
      <c r="C29" s="55">
        <f>SUM(C30:C31)</f>
        <v>0</v>
      </c>
      <c r="D29" s="55">
        <f>SUM(D30:D31)</f>
        <v>0</v>
      </c>
      <c r="E29" s="55">
        <f>SUM(E30:E31)</f>
        <v>0</v>
      </c>
      <c r="F29" s="55">
        <f>SUM(F30:F31)</f>
        <v>0</v>
      </c>
      <c r="G29" s="249">
        <f>SUM(B29:F29)</f>
        <v>0</v>
      </c>
      <c r="H29" s="43"/>
      <c r="I29" s="179"/>
    </row>
    <row r="30" spans="1:9" ht="14.25">
      <c r="A30" s="132" t="s">
        <v>407</v>
      </c>
      <c r="B30" s="355"/>
      <c r="C30" s="355"/>
      <c r="D30" s="355"/>
      <c r="E30" s="355"/>
      <c r="F30" s="355"/>
      <c r="G30" s="249"/>
      <c r="H30" s="43"/>
      <c r="I30" s="179"/>
    </row>
    <row r="31" spans="1:10" ht="14.25">
      <c r="A31" s="200"/>
      <c r="B31" s="206"/>
      <c r="C31" s="206"/>
      <c r="D31" s="206"/>
      <c r="E31" s="206"/>
      <c r="F31" s="206"/>
      <c r="G31" s="251"/>
      <c r="H31" s="358"/>
      <c r="I31" s="202"/>
      <c r="J31" s="296"/>
    </row>
    <row r="32" spans="1:9" ht="14.25">
      <c r="A32" s="303" t="s">
        <v>357</v>
      </c>
      <c r="B32" s="55">
        <f>SUM(B33:B37)</f>
        <v>25500</v>
      </c>
      <c r="C32" s="55">
        <f>SUM(C33:C37)</f>
        <v>60000</v>
      </c>
      <c r="D32" s="55">
        <f>SUM(D33:D37)</f>
        <v>60000</v>
      </c>
      <c r="E32" s="55">
        <f>SUM(E33:E37)</f>
        <v>60000</v>
      </c>
      <c r="F32" s="55">
        <f>SUM(F33:F37)</f>
        <v>0</v>
      </c>
      <c r="G32" s="249">
        <f>SUM(B32:F32)</f>
        <v>205500</v>
      </c>
      <c r="H32" s="19"/>
      <c r="I32" s="179"/>
    </row>
    <row r="33" spans="1:9" ht="14.25">
      <c r="A33" s="132" t="s">
        <v>406</v>
      </c>
      <c r="B33" s="355"/>
      <c r="C33" s="355"/>
      <c r="D33" s="355"/>
      <c r="E33" s="355"/>
      <c r="F33" s="355"/>
      <c r="G33" s="356"/>
      <c r="H33" s="357"/>
      <c r="I33" s="179"/>
    </row>
    <row r="34" spans="1:11" ht="33.75" customHeight="1">
      <c r="A34" s="19" t="s">
        <v>444</v>
      </c>
      <c r="B34" s="61"/>
      <c r="C34" s="61">
        <v>20000</v>
      </c>
      <c r="D34" s="61">
        <v>20000</v>
      </c>
      <c r="E34" s="61">
        <v>20000</v>
      </c>
      <c r="F34" s="61"/>
      <c r="G34" s="253"/>
      <c r="H34" s="359"/>
      <c r="I34" s="13" t="s">
        <v>501</v>
      </c>
      <c r="K34" s="267"/>
    </row>
    <row r="35" spans="1:9" ht="34.5" customHeight="1">
      <c r="A35" s="325" t="s">
        <v>329</v>
      </c>
      <c r="B35" s="61">
        <v>25500</v>
      </c>
      <c r="C35" s="61">
        <f aca="true" t="shared" si="0" ref="C35:E36">2*10000</f>
        <v>20000</v>
      </c>
      <c r="D35" s="61">
        <f t="shared" si="0"/>
        <v>20000</v>
      </c>
      <c r="E35" s="61">
        <f t="shared" si="0"/>
        <v>20000</v>
      </c>
      <c r="F35" s="61"/>
      <c r="G35" s="253"/>
      <c r="H35" s="359"/>
      <c r="I35" s="13" t="s">
        <v>233</v>
      </c>
    </row>
    <row r="36" spans="1:11" ht="39.75" customHeight="1">
      <c r="A36" s="19" t="s">
        <v>525</v>
      </c>
      <c r="B36" s="61"/>
      <c r="C36" s="61">
        <f t="shared" si="0"/>
        <v>20000</v>
      </c>
      <c r="D36" s="61">
        <f t="shared" si="0"/>
        <v>20000</v>
      </c>
      <c r="E36" s="61">
        <f t="shared" si="0"/>
        <v>20000</v>
      </c>
      <c r="F36" s="61"/>
      <c r="G36" s="253"/>
      <c r="H36" s="359"/>
      <c r="I36" s="189" t="s">
        <v>524</v>
      </c>
      <c r="K36" s="297"/>
    </row>
    <row r="37" spans="1:9" ht="27" customHeight="1">
      <c r="A37" s="358"/>
      <c r="B37" s="206"/>
      <c r="C37" s="206"/>
      <c r="D37" s="206"/>
      <c r="E37" s="206"/>
      <c r="F37" s="206"/>
      <c r="G37" s="251"/>
      <c r="H37" s="358"/>
      <c r="I37" s="202"/>
    </row>
    <row r="38" spans="1:9" ht="14.25">
      <c r="A38" s="303" t="s">
        <v>358</v>
      </c>
      <c r="B38" s="55">
        <f>SUM(B39:B40)</f>
        <v>0</v>
      </c>
      <c r="C38" s="55">
        <f>SUM(C39:C40)</f>
        <v>0</v>
      </c>
      <c r="D38" s="55">
        <f>SUM(D39:D40)</f>
        <v>0</v>
      </c>
      <c r="E38" s="55">
        <f>SUM(E39:E40)</f>
        <v>0</v>
      </c>
      <c r="F38" s="55">
        <f>SUM(F39:F40)</f>
        <v>0</v>
      </c>
      <c r="G38" s="249">
        <f>SUM(B38:F38)</f>
        <v>0</v>
      </c>
      <c r="H38" s="19"/>
      <c r="I38" s="179"/>
    </row>
    <row r="39" spans="1:9" ht="14.25">
      <c r="A39" s="132" t="s">
        <v>408</v>
      </c>
      <c r="B39" s="355"/>
      <c r="C39" s="355"/>
      <c r="D39" s="355"/>
      <c r="E39" s="355"/>
      <c r="F39" s="355"/>
      <c r="G39" s="356"/>
      <c r="H39" s="357"/>
      <c r="I39" s="179"/>
    </row>
    <row r="40" spans="1:9" ht="14.25">
      <c r="A40" s="200"/>
      <c r="B40" s="206"/>
      <c r="C40" s="206"/>
      <c r="D40" s="206"/>
      <c r="E40" s="206"/>
      <c r="F40" s="206"/>
      <c r="G40" s="251"/>
      <c r="H40" s="358"/>
      <c r="I40" s="202"/>
    </row>
    <row r="41" spans="1:9" ht="14.25">
      <c r="A41" s="303" t="s">
        <v>355</v>
      </c>
      <c r="B41" s="55">
        <f>SUM(B42:B43)</f>
        <v>0</v>
      </c>
      <c r="C41" s="55">
        <f>SUM(C42:C43)</f>
        <v>0</v>
      </c>
      <c r="D41" s="55">
        <f>SUM(D42:D43)</f>
        <v>0</v>
      </c>
      <c r="E41" s="55">
        <f>SUM(E42:E43)</f>
        <v>0</v>
      </c>
      <c r="F41" s="55">
        <f>SUM(F42:F43)</f>
        <v>0</v>
      </c>
      <c r="G41" s="249">
        <f>SUM(B41:F41)</f>
        <v>0</v>
      </c>
      <c r="H41" s="19"/>
      <c r="I41" s="179"/>
    </row>
    <row r="42" spans="1:9" ht="14.25">
      <c r="A42" s="132" t="s">
        <v>407</v>
      </c>
      <c r="B42" s="355"/>
      <c r="C42" s="355"/>
      <c r="D42" s="355"/>
      <c r="E42" s="355"/>
      <c r="F42" s="355"/>
      <c r="G42" s="356"/>
      <c r="H42" s="357"/>
      <c r="I42" s="179"/>
    </row>
    <row r="43" spans="1:9" ht="14.25">
      <c r="A43" s="200"/>
      <c r="B43" s="233"/>
      <c r="C43" s="233"/>
      <c r="D43" s="233"/>
      <c r="E43" s="233"/>
      <c r="F43" s="233"/>
      <c r="G43" s="265"/>
      <c r="H43" s="200"/>
      <c r="I43" s="202"/>
    </row>
    <row r="44" spans="1:12" ht="14.25">
      <c r="A44" s="309" t="s">
        <v>431</v>
      </c>
      <c r="B44" s="249">
        <f aca="true" t="shared" si="1" ref="B44:G44">SUM(B41,B38,B32,B29,B24,B17,B13,B8)</f>
        <v>84500</v>
      </c>
      <c r="C44" s="249">
        <f t="shared" si="1"/>
        <v>200000</v>
      </c>
      <c r="D44" s="249">
        <f t="shared" si="1"/>
        <v>177000</v>
      </c>
      <c r="E44" s="249">
        <f t="shared" si="1"/>
        <v>162000</v>
      </c>
      <c r="F44" s="249">
        <f t="shared" si="1"/>
        <v>0</v>
      </c>
      <c r="G44" s="249">
        <f t="shared" si="1"/>
        <v>623500</v>
      </c>
      <c r="H44" s="20"/>
      <c r="I44" s="179"/>
      <c r="K44" s="193"/>
      <c r="L44" s="324"/>
    </row>
    <row r="45" spans="1:11" ht="15.75">
      <c r="A45" s="258"/>
      <c r="B45" s="255"/>
      <c r="C45" s="255"/>
      <c r="D45" s="255"/>
      <c r="E45" s="255"/>
      <c r="F45" s="255"/>
      <c r="G45" s="255"/>
      <c r="H45" s="203"/>
      <c r="I45" s="202"/>
      <c r="J45" s="306"/>
      <c r="K45" s="307"/>
    </row>
    <row r="46" spans="1:9" ht="14.25">
      <c r="A46" s="86"/>
      <c r="B46" s="86"/>
      <c r="C46" s="86"/>
      <c r="D46" s="86"/>
      <c r="E46" s="86"/>
      <c r="F46" s="86"/>
      <c r="G46" s="85"/>
      <c r="H46" s="187"/>
      <c r="I46" s="187"/>
    </row>
  </sheetData>
  <sheetProtection/>
  <mergeCells count="2">
    <mergeCell ref="B5:I5"/>
    <mergeCell ref="B6:I6"/>
  </mergeCells>
  <printOptions horizontalCentered="1"/>
  <pageMargins left="0.2362204724409449" right="0.2362204724409449" top="0.2362204724409449" bottom="0.5118110236220472" header="0" footer="0.2362204724409449"/>
  <pageSetup fitToHeight="1" fitToWidth="1" horizontalDpi="600" verticalDpi="600" orientation="landscape" paperSize="9" scale="61" r:id="rId2"/>
  <headerFooter alignWithMargins="0">
    <oddFooter>&amp;R&amp;8Page &amp;P of &amp;N
Rev: 04/15/05</oddFooter>
  </headerFooter>
  <rowBreaks count="1" manualBreakCount="1">
    <brk id="31" max="255" man="1"/>
  </rowBreaks>
  <drawing r:id="rId1"/>
</worksheet>
</file>

<file path=xl/worksheets/sheet16.xml><?xml version="1.0" encoding="utf-8"?>
<worksheet xmlns="http://schemas.openxmlformats.org/spreadsheetml/2006/main" xmlns:r="http://schemas.openxmlformats.org/officeDocument/2006/relationships">
  <sheetPr>
    <tabColor indexed="29"/>
    <pageSetUpPr fitToPage="1"/>
  </sheetPr>
  <dimension ref="A1:S50"/>
  <sheetViews>
    <sheetView view="pageBreakPreview" zoomScaleNormal="80" zoomScaleSheetLayoutView="100" zoomScalePageLayoutView="0" workbookViewId="0" topLeftCell="A22">
      <selection activeCell="K31" sqref="K31"/>
    </sheetView>
  </sheetViews>
  <sheetFormatPr defaultColWidth="9.140625" defaultRowHeight="12.75"/>
  <cols>
    <col min="1" max="1" width="34.28125" style="311" customWidth="1"/>
    <col min="2" max="5" width="12.00390625" style="311" customWidth="1"/>
    <col min="6" max="6" width="11.421875" style="311" customWidth="1"/>
    <col min="7" max="7" width="12.421875" style="311" customWidth="1"/>
    <col min="8" max="8" width="9.140625" style="311" hidden="1" customWidth="1"/>
    <col min="9" max="9" width="38.8515625" style="311" customWidth="1"/>
    <col min="10" max="10" width="16.140625" style="311" customWidth="1"/>
    <col min="11" max="11" width="11.00390625" style="295" customWidth="1"/>
    <col min="12" max="12" width="15.421875" style="1" customWidth="1"/>
    <col min="13" max="16384" width="9.140625" style="311" customWidth="1"/>
  </cols>
  <sheetData>
    <row r="1" spans="1:12" ht="18">
      <c r="A1" s="304" t="s">
        <v>165</v>
      </c>
      <c r="B1" s="1"/>
      <c r="C1" s="1"/>
      <c r="D1" s="1"/>
      <c r="E1" s="1"/>
      <c r="F1" s="1"/>
      <c r="G1" s="2"/>
      <c r="I1" s="219"/>
      <c r="L1" s="305"/>
    </row>
    <row r="2" spans="1:9" ht="18">
      <c r="A2" s="304"/>
      <c r="B2" s="1"/>
      <c r="C2" s="1"/>
      <c r="D2" s="1"/>
      <c r="E2" s="1"/>
      <c r="F2" s="1"/>
      <c r="G2" s="2"/>
      <c r="I2" s="219"/>
    </row>
    <row r="3" spans="1:9" ht="15">
      <c r="A3" s="47" t="s">
        <v>363</v>
      </c>
      <c r="B3" s="81" t="s">
        <v>225</v>
      </c>
      <c r="C3" s="10"/>
      <c r="D3" s="10"/>
      <c r="E3" s="10"/>
      <c r="F3" s="10"/>
      <c r="G3" s="13"/>
      <c r="I3" s="219"/>
    </row>
    <row r="4" spans="1:9" ht="15">
      <c r="A4" s="47" t="s">
        <v>364</v>
      </c>
      <c r="B4" s="384" t="str">
        <f>'Snapshot |15 Major Activities'!B3</f>
        <v>Expansion of Successful Poverty Reduction and Women’s Empowerment Model in West Africa Project Number 45498</v>
      </c>
      <c r="C4" s="384"/>
      <c r="D4" s="384"/>
      <c r="E4" s="384"/>
      <c r="F4" s="384"/>
      <c r="G4" s="384"/>
      <c r="I4" s="219"/>
    </row>
    <row r="5" spans="1:11" s="1" customFormat="1" ht="29.25" customHeight="1">
      <c r="A5" s="49" t="s">
        <v>168</v>
      </c>
      <c r="B5" s="384" t="str">
        <f>'Snapshot |15 Major Activities'!B6:C6</f>
        <v>To enable governments to upscale their MFP programs by consolidating field-proven best practices into rural agro-enterprise models that are replicable and scalable across West Africa and other Sub Saharan countries.</v>
      </c>
      <c r="C5" s="384"/>
      <c r="D5" s="384"/>
      <c r="E5" s="384"/>
      <c r="F5" s="384"/>
      <c r="G5" s="384"/>
      <c r="H5" s="384"/>
      <c r="I5" s="384"/>
      <c r="K5" s="295"/>
    </row>
    <row r="6" spans="1:9" ht="45.75" customHeight="1" thickBot="1">
      <c r="A6" s="48" t="s">
        <v>200</v>
      </c>
      <c r="B6" s="386"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6" s="386"/>
      <c r="D6" s="386"/>
      <c r="E6" s="386"/>
      <c r="F6" s="386"/>
      <c r="G6" s="386"/>
      <c r="H6" s="386"/>
      <c r="I6" s="386"/>
    </row>
    <row r="7" spans="1:12" ht="46.5">
      <c r="A7" s="53" t="s">
        <v>404</v>
      </c>
      <c r="B7" s="51" t="s">
        <v>405</v>
      </c>
      <c r="C7" s="51" t="s">
        <v>409</v>
      </c>
      <c r="D7" s="51" t="s">
        <v>410</v>
      </c>
      <c r="E7" s="51" t="s">
        <v>171</v>
      </c>
      <c r="F7" s="51" t="s">
        <v>169</v>
      </c>
      <c r="G7" s="248" t="s">
        <v>411</v>
      </c>
      <c r="H7" s="52" t="s">
        <v>374</v>
      </c>
      <c r="I7" s="220" t="s">
        <v>362</v>
      </c>
      <c r="J7" s="239"/>
      <c r="K7" s="306"/>
      <c r="L7" s="307"/>
    </row>
    <row r="8" spans="1:12" ht="14.25">
      <c r="A8" s="303" t="s">
        <v>353</v>
      </c>
      <c r="B8" s="55">
        <f>SUM(B9:B13)</f>
        <v>64000</v>
      </c>
      <c r="C8" s="55">
        <f>SUM(C9:C13)</f>
        <v>40000</v>
      </c>
      <c r="D8" s="55">
        <f>SUM(D9:D13)</f>
        <v>64000</v>
      </c>
      <c r="E8" s="55">
        <f>SUM(E9:E13)</f>
        <v>40000</v>
      </c>
      <c r="F8" s="55">
        <f>SUM(F9:F13)</f>
        <v>0</v>
      </c>
      <c r="G8" s="249">
        <f>SUM(B8:F8)</f>
        <v>208000</v>
      </c>
      <c r="H8" s="19"/>
      <c r="I8" s="179"/>
      <c r="L8" s="267"/>
    </row>
    <row r="9" spans="1:9" ht="14.25">
      <c r="A9" s="132" t="s">
        <v>399</v>
      </c>
      <c r="B9" s="61"/>
      <c r="C9" s="61"/>
      <c r="D9" s="61"/>
      <c r="E9" s="61"/>
      <c r="F9" s="61"/>
      <c r="G9" s="250"/>
      <c r="H9" s="43"/>
      <c r="I9" s="179"/>
    </row>
    <row r="10" spans="1:12" s="312" customFormat="1" ht="54.75" customHeight="1">
      <c r="A10" s="19" t="s">
        <v>504</v>
      </c>
      <c r="B10" s="61">
        <f>5*8000</f>
        <v>40000</v>
      </c>
      <c r="C10" s="61">
        <f>5*8000</f>
        <v>40000</v>
      </c>
      <c r="D10" s="61">
        <f>5*8000</f>
        <v>40000</v>
      </c>
      <c r="E10" s="61">
        <f>5*8000</f>
        <v>40000</v>
      </c>
      <c r="F10" s="61"/>
      <c r="G10" s="250"/>
      <c r="H10" s="18"/>
      <c r="I10" s="288" t="s">
        <v>469</v>
      </c>
      <c r="J10" s="318"/>
      <c r="K10" s="295"/>
      <c r="L10" s="1"/>
    </row>
    <row r="11" spans="1:12" s="312" customFormat="1" ht="39.75" customHeight="1" hidden="1">
      <c r="A11" s="11"/>
      <c r="B11" s="61"/>
      <c r="C11" s="61"/>
      <c r="D11" s="61"/>
      <c r="E11" s="61"/>
      <c r="F11" s="61"/>
      <c r="G11" s="250"/>
      <c r="H11" s="18"/>
      <c r="I11" s="11"/>
      <c r="K11" s="295"/>
      <c r="L11" s="1"/>
    </row>
    <row r="12" spans="1:12" s="312" customFormat="1" ht="45">
      <c r="A12" s="11" t="s">
        <v>106</v>
      </c>
      <c r="B12" s="61">
        <f>3*8000</f>
        <v>24000</v>
      </c>
      <c r="C12" s="61"/>
      <c r="D12" s="61">
        <f>3*8000</f>
        <v>24000</v>
      </c>
      <c r="E12" s="61"/>
      <c r="F12" s="61"/>
      <c r="G12" s="250"/>
      <c r="H12" s="18"/>
      <c r="I12" s="11" t="s">
        <v>502</v>
      </c>
      <c r="J12" s="318"/>
      <c r="K12" s="295"/>
      <c r="L12" s="1"/>
    </row>
    <row r="13" spans="1:12" s="312" customFormat="1" ht="14.25">
      <c r="A13" s="200"/>
      <c r="B13" s="206"/>
      <c r="C13" s="206"/>
      <c r="D13" s="206"/>
      <c r="E13" s="206"/>
      <c r="F13" s="206"/>
      <c r="G13" s="251"/>
      <c r="H13" s="200"/>
      <c r="I13" s="202"/>
      <c r="K13" s="296"/>
      <c r="L13" s="1"/>
    </row>
    <row r="14" spans="1:12" s="312" customFormat="1" ht="14.25">
      <c r="A14" s="303" t="s">
        <v>354</v>
      </c>
      <c r="B14" s="55">
        <f>SUM(B15:B16)</f>
        <v>0</v>
      </c>
      <c r="C14" s="55">
        <f>SUM(C15:C16)</f>
        <v>0</v>
      </c>
      <c r="D14" s="55">
        <f>SUM(D15:D16)</f>
        <v>0</v>
      </c>
      <c r="E14" s="55">
        <f>SUM(E15:E16)</f>
        <v>0</v>
      </c>
      <c r="F14" s="55">
        <f>SUM(F15:F16)</f>
        <v>0</v>
      </c>
      <c r="G14" s="249">
        <f>SUM(B14:F14)</f>
        <v>0</v>
      </c>
      <c r="H14" s="43"/>
      <c r="I14" s="179"/>
      <c r="L14" s="1"/>
    </row>
    <row r="15" spans="1:12" s="312" customFormat="1" ht="14.25">
      <c r="A15" s="132" t="s">
        <v>406</v>
      </c>
      <c r="B15" s="61"/>
      <c r="C15" s="61"/>
      <c r="D15" s="61"/>
      <c r="E15" s="61"/>
      <c r="F15" s="61"/>
      <c r="G15" s="250"/>
      <c r="H15" s="43"/>
      <c r="I15" s="179"/>
      <c r="K15" s="295"/>
      <c r="L15" s="1"/>
    </row>
    <row r="16" spans="1:12" s="312" customFormat="1" ht="14.25">
      <c r="A16" s="34"/>
      <c r="B16" s="207"/>
      <c r="C16" s="207"/>
      <c r="D16" s="207"/>
      <c r="E16" s="207"/>
      <c r="F16" s="207"/>
      <c r="G16" s="252"/>
      <c r="H16" s="44"/>
      <c r="I16" s="202"/>
      <c r="K16" s="295"/>
      <c r="L16" s="1"/>
    </row>
    <row r="17" spans="1:12" s="312" customFormat="1" ht="15">
      <c r="A17" s="310" t="s">
        <v>352</v>
      </c>
      <c r="B17" s="55">
        <f>SUM(B18:B24)</f>
        <v>25500</v>
      </c>
      <c r="C17" s="55">
        <f>SUM(C18:C24)</f>
        <v>67500</v>
      </c>
      <c r="D17" s="55">
        <f>SUM(D18:D24)</f>
        <v>79500</v>
      </c>
      <c r="E17" s="55">
        <f>SUM(E18:E24)</f>
        <v>57000</v>
      </c>
      <c r="F17" s="55">
        <f>SUM(F18:F24)</f>
        <v>0</v>
      </c>
      <c r="G17" s="249">
        <f>SUM(B17:F17)</f>
        <v>229500</v>
      </c>
      <c r="H17" s="19"/>
      <c r="I17" s="179"/>
      <c r="K17" s="295"/>
      <c r="L17" s="1"/>
    </row>
    <row r="18" spans="1:12" s="312" customFormat="1" ht="14.25">
      <c r="A18" s="19"/>
      <c r="B18" s="61"/>
      <c r="C18" s="61"/>
      <c r="D18" s="61"/>
      <c r="E18" s="61"/>
      <c r="F18" s="61"/>
      <c r="G18" s="253"/>
      <c r="H18" s="1"/>
      <c r="I18" s="13"/>
      <c r="K18" s="295"/>
      <c r="L18" s="267"/>
    </row>
    <row r="19" spans="1:12" s="312" customFormat="1" ht="22.5">
      <c r="A19" s="19" t="s">
        <v>526</v>
      </c>
      <c r="B19" s="61"/>
      <c r="C19" s="61">
        <f>1500*4*3</f>
        <v>18000</v>
      </c>
      <c r="D19" s="61">
        <f>1500*4*3</f>
        <v>18000</v>
      </c>
      <c r="E19" s="61">
        <f>1500*4*3</f>
        <v>18000</v>
      </c>
      <c r="F19" s="61"/>
      <c r="G19" s="253"/>
      <c r="H19" s="1"/>
      <c r="I19" s="13" t="s">
        <v>470</v>
      </c>
      <c r="K19" s="295"/>
      <c r="L19" s="1"/>
    </row>
    <row r="20" spans="1:12" s="312" customFormat="1" ht="22.5">
      <c r="A20" s="19" t="s">
        <v>100</v>
      </c>
      <c r="B20" s="61"/>
      <c r="C20" s="61">
        <f>3*2500</f>
        <v>7500</v>
      </c>
      <c r="D20" s="61">
        <f>3*2500</f>
        <v>7500</v>
      </c>
      <c r="E20" s="61">
        <f>3*2500</f>
        <v>7500</v>
      </c>
      <c r="F20" s="61"/>
      <c r="G20" s="253"/>
      <c r="H20" s="1"/>
      <c r="I20" s="13" t="s">
        <v>401</v>
      </c>
      <c r="J20" s="318"/>
      <c r="K20" s="295"/>
      <c r="L20" s="267"/>
    </row>
    <row r="21" spans="1:12" s="312" customFormat="1" ht="24">
      <c r="A21" s="61" t="s">
        <v>80</v>
      </c>
      <c r="B21" s="61"/>
      <c r="C21" s="61">
        <f>6*1500</f>
        <v>9000</v>
      </c>
      <c r="D21" s="61">
        <f>9*1500</f>
        <v>13500</v>
      </c>
      <c r="E21" s="61">
        <f>9*1500</f>
        <v>13500</v>
      </c>
      <c r="F21" s="61"/>
      <c r="G21" s="254"/>
      <c r="H21" s="187"/>
      <c r="I21" s="179" t="s">
        <v>79</v>
      </c>
      <c r="K21" s="295"/>
      <c r="L21" s="1"/>
    </row>
    <row r="22" spans="1:12" s="312" customFormat="1" ht="22.5">
      <c r="A22" s="19" t="s">
        <v>527</v>
      </c>
      <c r="B22" s="61">
        <f>3*2500</f>
        <v>7500</v>
      </c>
      <c r="C22" s="61"/>
      <c r="D22" s="61">
        <f>3*2500</f>
        <v>7500</v>
      </c>
      <c r="E22" s="61"/>
      <c r="F22" s="61"/>
      <c r="G22" s="253"/>
      <c r="H22" s="1"/>
      <c r="I22" s="13" t="s">
        <v>528</v>
      </c>
      <c r="J22" s="318"/>
      <c r="K22" s="295"/>
      <c r="L22" s="1"/>
    </row>
    <row r="23" spans="1:12" s="312" customFormat="1" ht="24">
      <c r="A23" s="61" t="s">
        <v>277</v>
      </c>
      <c r="B23" s="61">
        <f>6*1500*2</f>
        <v>18000</v>
      </c>
      <c r="C23" s="61">
        <f>11*2*1500</f>
        <v>33000</v>
      </c>
      <c r="D23" s="61">
        <f>11*1500*2</f>
        <v>33000</v>
      </c>
      <c r="E23" s="61">
        <f>6*1500*2</f>
        <v>18000</v>
      </c>
      <c r="F23" s="61"/>
      <c r="G23" s="254"/>
      <c r="H23" s="187"/>
      <c r="I23" s="179" t="s">
        <v>79</v>
      </c>
      <c r="J23" s="318"/>
      <c r="K23" s="295"/>
      <c r="L23" s="1"/>
    </row>
    <row r="24" spans="1:12" s="312" customFormat="1" ht="14.25">
      <c r="A24" s="207"/>
      <c r="B24" s="207"/>
      <c r="C24" s="207"/>
      <c r="D24" s="207"/>
      <c r="E24" s="207"/>
      <c r="F24" s="207"/>
      <c r="G24" s="251"/>
      <c r="H24" s="200"/>
      <c r="I24" s="202"/>
      <c r="J24" s="319"/>
      <c r="K24" s="295"/>
      <c r="L24" s="267"/>
    </row>
    <row r="25" spans="1:12" s="312" customFormat="1" ht="15" customHeight="1">
      <c r="A25" s="303" t="s">
        <v>359</v>
      </c>
      <c r="B25" s="55">
        <f>SUM(B26:B33)</f>
        <v>333000</v>
      </c>
      <c r="C25" s="55">
        <f>SUM(C26:C33)</f>
        <v>267000</v>
      </c>
      <c r="D25" s="55">
        <f>SUM(D26:D33)</f>
        <v>219000</v>
      </c>
      <c r="E25" s="55">
        <f>SUM(E26:E33)</f>
        <v>213000</v>
      </c>
      <c r="F25" s="55">
        <f>SUM(F26:F33)</f>
        <v>0</v>
      </c>
      <c r="G25" s="249">
        <f>SUM(B25:F25)</f>
        <v>1032000</v>
      </c>
      <c r="H25" s="19"/>
      <c r="I25" s="179"/>
      <c r="K25" s="295"/>
      <c r="L25" s="1"/>
    </row>
    <row r="26" spans="1:12" s="312" customFormat="1" ht="14.25">
      <c r="A26" s="132" t="s">
        <v>406</v>
      </c>
      <c r="B26" s="204"/>
      <c r="C26" s="204"/>
      <c r="D26" s="204"/>
      <c r="E26" s="204"/>
      <c r="F26" s="204"/>
      <c r="G26" s="253"/>
      <c r="H26" s="86"/>
      <c r="I26" s="180"/>
      <c r="K26" s="295"/>
      <c r="L26" s="1"/>
    </row>
    <row r="27" spans="1:19" s="312" customFormat="1" ht="33.75" customHeight="1">
      <c r="A27" s="19" t="s">
        <v>529</v>
      </c>
      <c r="B27" s="61"/>
      <c r="C27" s="61">
        <f>3000*4*3</f>
        <v>36000</v>
      </c>
      <c r="D27" s="61">
        <f>3000*4*3</f>
        <v>36000</v>
      </c>
      <c r="E27" s="61">
        <f>3000*4*3</f>
        <v>36000</v>
      </c>
      <c r="F27" s="61"/>
      <c r="G27" s="253"/>
      <c r="H27" s="1"/>
      <c r="I27" s="13" t="s">
        <v>471</v>
      </c>
      <c r="J27" s="299"/>
      <c r="K27" s="296"/>
      <c r="L27" s="267"/>
      <c r="Q27" s="204"/>
      <c r="R27" s="204"/>
      <c r="S27" s="204"/>
    </row>
    <row r="28" spans="1:19" s="312" customFormat="1" ht="43.5" customHeight="1">
      <c r="A28" s="13" t="s">
        <v>530</v>
      </c>
      <c r="B28" s="61">
        <f>15000*2*3*2</f>
        <v>180000</v>
      </c>
      <c r="C28" s="61"/>
      <c r="D28" s="243">
        <f>15000*3</f>
        <v>45000</v>
      </c>
      <c r="E28" s="61"/>
      <c r="F28" s="243"/>
      <c r="G28" s="253"/>
      <c r="H28" s="86"/>
      <c r="I28" s="180" t="s">
        <v>279</v>
      </c>
      <c r="J28" s="318"/>
      <c r="K28" s="295"/>
      <c r="L28" s="267"/>
      <c r="Q28" s="204"/>
      <c r="R28" s="204"/>
      <c r="S28" s="204"/>
    </row>
    <row r="29" spans="1:12" s="312" customFormat="1" ht="41.25" customHeight="1" hidden="1">
      <c r="A29" s="11" t="s">
        <v>278</v>
      </c>
      <c r="B29" s="243"/>
      <c r="C29" s="243"/>
      <c r="E29" s="243"/>
      <c r="G29" s="254"/>
      <c r="H29" s="187"/>
      <c r="I29" s="179"/>
      <c r="J29" s="320"/>
      <c r="K29" s="298"/>
      <c r="L29" s="1"/>
    </row>
    <row r="30" spans="1:12" s="312" customFormat="1" ht="33" customHeight="1">
      <c r="A30" s="19" t="s">
        <v>183</v>
      </c>
      <c r="B30" s="61"/>
      <c r="C30" s="61">
        <f>15000*1*4</f>
        <v>60000</v>
      </c>
      <c r="D30" s="61"/>
      <c r="E30" s="61">
        <f>15000*1*4</f>
        <v>60000</v>
      </c>
      <c r="F30" s="61"/>
      <c r="G30" s="253"/>
      <c r="H30" s="86"/>
      <c r="I30" s="13" t="s">
        <v>472</v>
      </c>
      <c r="K30" s="300"/>
      <c r="L30" s="1"/>
    </row>
    <row r="31" spans="1:12" s="312" customFormat="1" ht="34.5" customHeight="1">
      <c r="A31" s="19" t="s">
        <v>234</v>
      </c>
      <c r="B31" s="61">
        <f>4*1*3000</f>
        <v>12000</v>
      </c>
      <c r="C31" s="61">
        <f>2*3000*3*3</f>
        <v>54000</v>
      </c>
      <c r="D31" s="61">
        <f>3*4*3000</f>
        <v>36000</v>
      </c>
      <c r="E31" s="61">
        <f>2*3000*3*3</f>
        <v>54000</v>
      </c>
      <c r="F31" s="61"/>
      <c r="G31" s="253"/>
      <c r="H31" s="86"/>
      <c r="I31" s="13" t="s">
        <v>282</v>
      </c>
      <c r="K31" s="295"/>
      <c r="L31" s="1"/>
    </row>
    <row r="32" spans="1:12" s="312" customFormat="1" ht="36" customHeight="1">
      <c r="A32" s="205" t="s">
        <v>86</v>
      </c>
      <c r="B32" s="204">
        <f>3*15000</f>
        <v>45000</v>
      </c>
      <c r="C32" s="204">
        <f>3*15000</f>
        <v>45000</v>
      </c>
      <c r="D32" s="204">
        <f>2*15000</f>
        <v>30000</v>
      </c>
      <c r="E32" s="204">
        <v>15000</v>
      </c>
      <c r="F32" s="204"/>
      <c r="G32" s="253"/>
      <c r="H32" s="1"/>
      <c r="I32" s="180" t="s">
        <v>281</v>
      </c>
      <c r="J32" s="318"/>
      <c r="K32" s="295"/>
      <c r="L32" s="1"/>
    </row>
    <row r="33" spans="1:12" s="312" customFormat="1" ht="64.5" customHeight="1">
      <c r="A33" s="34" t="s">
        <v>82</v>
      </c>
      <c r="B33" s="206">
        <f>4*4*3000*2</f>
        <v>96000</v>
      </c>
      <c r="C33" s="206">
        <f>4*3*3000*2</f>
        <v>72000</v>
      </c>
      <c r="D33" s="206">
        <f>4*3*3000*2</f>
        <v>72000</v>
      </c>
      <c r="E33" s="206">
        <f>4*2*3000*2</f>
        <v>48000</v>
      </c>
      <c r="F33" s="206"/>
      <c r="G33" s="251"/>
      <c r="H33" s="35"/>
      <c r="I33" s="202" t="s">
        <v>280</v>
      </c>
      <c r="J33" s="318"/>
      <c r="K33" s="295"/>
      <c r="L33" s="1"/>
    </row>
    <row r="34" spans="1:12" s="312" customFormat="1" ht="21.75" customHeight="1">
      <c r="A34" s="303" t="s">
        <v>356</v>
      </c>
      <c r="B34" s="55">
        <f>SUM(B35:B36)</f>
        <v>0</v>
      </c>
      <c r="C34" s="55">
        <f>SUM(C35:C36)</f>
        <v>0</v>
      </c>
      <c r="D34" s="55">
        <f>SUM(D35:D36)</f>
        <v>0</v>
      </c>
      <c r="E34" s="55">
        <f>SUM(E35:E36)</f>
        <v>0</v>
      </c>
      <c r="F34" s="55">
        <f>SUM(F35:F36)</f>
        <v>0</v>
      </c>
      <c r="G34" s="249">
        <f>SUM(B34:F34)</f>
        <v>0</v>
      </c>
      <c r="H34" s="43"/>
      <c r="I34" s="179"/>
      <c r="K34" s="295"/>
      <c r="L34" s="1"/>
    </row>
    <row r="35" spans="1:12" s="312" customFormat="1" ht="14.25">
      <c r="A35" s="132" t="s">
        <v>407</v>
      </c>
      <c r="B35" s="61"/>
      <c r="C35" s="61"/>
      <c r="D35" s="61"/>
      <c r="E35" s="61"/>
      <c r="F35" s="61"/>
      <c r="G35" s="249"/>
      <c r="H35" s="43"/>
      <c r="I35" s="179"/>
      <c r="K35" s="295"/>
      <c r="L35" s="267"/>
    </row>
    <row r="36" spans="1:12" s="312" customFormat="1" ht="14.25">
      <c r="A36" s="200"/>
      <c r="B36" s="206"/>
      <c r="C36" s="206"/>
      <c r="D36" s="206"/>
      <c r="E36" s="206"/>
      <c r="F36" s="206"/>
      <c r="G36" s="251"/>
      <c r="H36" s="200"/>
      <c r="I36" s="202"/>
      <c r="K36" s="295"/>
      <c r="L36" s="1"/>
    </row>
    <row r="37" spans="1:12" s="312" customFormat="1" ht="14.25">
      <c r="A37" s="303" t="s">
        <v>357</v>
      </c>
      <c r="B37" s="55">
        <f>SUM(B38:B42)</f>
        <v>110000</v>
      </c>
      <c r="C37" s="55">
        <f>SUM(C38:C42)</f>
        <v>40000</v>
      </c>
      <c r="D37" s="55">
        <f>SUM(D38:D42)</f>
        <v>20000</v>
      </c>
      <c r="E37" s="55">
        <f>SUM(E38:E42)</f>
        <v>40000</v>
      </c>
      <c r="F37" s="55">
        <f>SUM(F38:F42)</f>
        <v>0</v>
      </c>
      <c r="G37" s="249">
        <f>SUM(B37:F37)</f>
        <v>210000</v>
      </c>
      <c r="H37" s="19"/>
      <c r="I37" s="179"/>
      <c r="L37" s="297"/>
    </row>
    <row r="38" spans="1:12" s="312" customFormat="1" ht="14.25">
      <c r="A38" s="132" t="s">
        <v>406</v>
      </c>
      <c r="B38" s="61"/>
      <c r="C38" s="61"/>
      <c r="D38" s="61"/>
      <c r="E38" s="61"/>
      <c r="F38" s="61"/>
      <c r="G38" s="250"/>
      <c r="H38" s="43"/>
      <c r="I38" s="179"/>
      <c r="K38" s="295"/>
      <c r="L38" s="1"/>
    </row>
    <row r="39" spans="1:12" s="312" customFormat="1" ht="22.5">
      <c r="A39" s="19" t="s">
        <v>531</v>
      </c>
      <c r="B39" s="61"/>
      <c r="C39" s="61">
        <f>4*10000</f>
        <v>40000</v>
      </c>
      <c r="D39" s="61"/>
      <c r="E39" s="61">
        <f>4*10000</f>
        <v>40000</v>
      </c>
      <c r="F39" s="61"/>
      <c r="G39" s="253"/>
      <c r="H39" s="1"/>
      <c r="I39" s="13" t="s">
        <v>473</v>
      </c>
      <c r="K39" s="295"/>
      <c r="L39" s="1"/>
    </row>
    <row r="40" spans="1:12" s="312" customFormat="1" ht="24">
      <c r="A40" s="10" t="s">
        <v>532</v>
      </c>
      <c r="B40" s="61">
        <f>25000*3</f>
        <v>75000</v>
      </c>
      <c r="C40" s="61"/>
      <c r="D40" s="61"/>
      <c r="E40" s="61"/>
      <c r="F40" s="61"/>
      <c r="G40" s="253"/>
      <c r="H40" s="86"/>
      <c r="I40" s="180" t="s">
        <v>503</v>
      </c>
      <c r="J40" s="318"/>
      <c r="K40" s="295"/>
      <c r="L40" s="193"/>
    </row>
    <row r="41" spans="1:12" s="312" customFormat="1" ht="14.25">
      <c r="A41" s="10" t="s">
        <v>182</v>
      </c>
      <c r="B41" s="61">
        <f>1*35000</f>
        <v>35000</v>
      </c>
      <c r="C41" s="61"/>
      <c r="D41" s="61"/>
      <c r="E41" s="61"/>
      <c r="F41" s="61"/>
      <c r="G41" s="253"/>
      <c r="H41" s="86"/>
      <c r="I41" s="392" t="s">
        <v>453</v>
      </c>
      <c r="J41" s="318"/>
      <c r="K41" s="295"/>
      <c r="L41" s="1"/>
    </row>
    <row r="42" spans="1:12" s="312" customFormat="1" ht="14.25">
      <c r="A42" s="19" t="s">
        <v>454</v>
      </c>
      <c r="B42" s="61"/>
      <c r="C42" s="61"/>
      <c r="D42" s="19">
        <f>20000</f>
        <v>20000</v>
      </c>
      <c r="E42" s="61"/>
      <c r="F42" s="19"/>
      <c r="G42" s="253"/>
      <c r="H42" s="86"/>
      <c r="I42" s="392"/>
      <c r="J42" s="318"/>
      <c r="K42" s="295"/>
      <c r="L42" s="1"/>
    </row>
    <row r="43" spans="1:12" s="312" customFormat="1" ht="14.25">
      <c r="A43" s="303" t="s">
        <v>358</v>
      </c>
      <c r="B43" s="55">
        <f>SUM(B44:B45)</f>
        <v>0</v>
      </c>
      <c r="C43" s="55">
        <f>SUM(C44:C45)</f>
        <v>0</v>
      </c>
      <c r="D43" s="55">
        <f>SUM(D44:D45)</f>
        <v>0</v>
      </c>
      <c r="E43" s="55">
        <f>SUM(E44:E45)</f>
        <v>0</v>
      </c>
      <c r="F43" s="55">
        <f>SUM(F44:F45)</f>
        <v>0</v>
      </c>
      <c r="G43" s="249">
        <f>SUM(B43:F43)</f>
        <v>0</v>
      </c>
      <c r="H43" s="19"/>
      <c r="I43" s="179"/>
      <c r="K43" s="295"/>
      <c r="L43" s="1"/>
    </row>
    <row r="44" spans="1:12" s="312" customFormat="1" ht="14.25">
      <c r="A44" s="132" t="s">
        <v>408</v>
      </c>
      <c r="B44" s="61"/>
      <c r="C44" s="61"/>
      <c r="D44" s="61"/>
      <c r="E44" s="61"/>
      <c r="F44" s="61"/>
      <c r="G44" s="250"/>
      <c r="H44" s="43"/>
      <c r="I44" s="179"/>
      <c r="K44" s="295"/>
      <c r="L44" s="1"/>
    </row>
    <row r="45" spans="1:12" s="312" customFormat="1" ht="14.25">
      <c r="A45" s="200"/>
      <c r="B45" s="206"/>
      <c r="C45" s="206"/>
      <c r="D45" s="206"/>
      <c r="E45" s="206"/>
      <c r="F45" s="206"/>
      <c r="G45" s="251"/>
      <c r="H45" s="200"/>
      <c r="I45" s="202"/>
      <c r="K45" s="295"/>
      <c r="L45" s="1"/>
    </row>
    <row r="46" spans="1:9" s="312" customFormat="1" ht="12.75">
      <c r="A46" s="303" t="s">
        <v>355</v>
      </c>
      <c r="B46" s="55">
        <f>SUM(B47:B48)</f>
        <v>0</v>
      </c>
      <c r="C46" s="55">
        <f>SUM(C47:C48)</f>
        <v>0</v>
      </c>
      <c r="D46" s="55">
        <f>SUM(D47:D48)</f>
        <v>0</v>
      </c>
      <c r="E46" s="55">
        <f>SUM(E47:E48)</f>
        <v>0</v>
      </c>
      <c r="F46" s="55">
        <f>SUM(F47:F48)</f>
        <v>0</v>
      </c>
      <c r="G46" s="249">
        <f>SUM(B46:F46)</f>
        <v>0</v>
      </c>
      <c r="H46" s="19"/>
      <c r="I46" s="179"/>
    </row>
    <row r="47" spans="1:9" ht="14.25">
      <c r="A47" s="132" t="s">
        <v>407</v>
      </c>
      <c r="B47" s="61"/>
      <c r="C47" s="61"/>
      <c r="D47" s="61"/>
      <c r="E47" s="61"/>
      <c r="F47" s="61"/>
      <c r="G47" s="250"/>
      <c r="H47" s="43"/>
      <c r="I47" s="179"/>
    </row>
    <row r="48" spans="1:9" ht="14.25">
      <c r="A48" s="200"/>
      <c r="B48" s="206"/>
      <c r="C48" s="206"/>
      <c r="D48" s="206"/>
      <c r="E48" s="206"/>
      <c r="F48" s="206"/>
      <c r="G48" s="251"/>
      <c r="H48" s="200"/>
      <c r="I48" s="202"/>
    </row>
    <row r="49" spans="1:12" ht="14.25">
      <c r="A49" s="309" t="s">
        <v>432</v>
      </c>
      <c r="B49" s="249">
        <f aca="true" t="shared" si="0" ref="B49:G49">SUM(B46,B43,B37,B34,B25,B17,B14,B8)</f>
        <v>532500</v>
      </c>
      <c r="C49" s="249">
        <f t="shared" si="0"/>
        <v>414500</v>
      </c>
      <c r="D49" s="249">
        <f t="shared" si="0"/>
        <v>382500</v>
      </c>
      <c r="E49" s="249">
        <f t="shared" si="0"/>
        <v>350000</v>
      </c>
      <c r="F49" s="249">
        <f t="shared" si="0"/>
        <v>0</v>
      </c>
      <c r="G49" s="249">
        <f t="shared" si="0"/>
        <v>1679500</v>
      </c>
      <c r="H49" s="20"/>
      <c r="I49" s="179"/>
      <c r="L49" s="193"/>
    </row>
    <row r="50" spans="1:12" ht="15.75">
      <c r="A50" s="258"/>
      <c r="B50" s="255"/>
      <c r="C50" s="255"/>
      <c r="D50" s="255"/>
      <c r="E50" s="255"/>
      <c r="F50" s="255"/>
      <c r="G50" s="255"/>
      <c r="H50" s="203"/>
      <c r="I50" s="202"/>
      <c r="K50" s="306"/>
      <c r="L50" s="307"/>
    </row>
  </sheetData>
  <sheetProtection/>
  <mergeCells count="4">
    <mergeCell ref="B4:G4"/>
    <mergeCell ref="B5:I5"/>
    <mergeCell ref="I41:I42"/>
    <mergeCell ref="B6:I6"/>
  </mergeCells>
  <printOptions horizontalCentered="1"/>
  <pageMargins left="0.2362204724409449" right="0.2362204724409449" top="0.2362204724409449" bottom="0.5118110236220472" header="0" footer="0.2362204724409449"/>
  <pageSetup fitToHeight="1" fitToWidth="1" horizontalDpi="600" verticalDpi="600" orientation="portrait" paperSize="9" scale="70" r:id="rId2"/>
  <headerFooter alignWithMargins="0">
    <oddFooter>&amp;R&amp;8Page &amp;P of &amp;N
Rev: 04/15/05</oddFooter>
  </headerFooter>
  <rowBreaks count="1" manualBreakCount="1">
    <brk id="24" max="8" man="1"/>
  </rowBreaks>
  <drawing r:id="rId1"/>
</worksheet>
</file>

<file path=xl/worksheets/sheet17.xml><?xml version="1.0" encoding="utf-8"?>
<worksheet xmlns="http://schemas.openxmlformats.org/spreadsheetml/2006/main" xmlns:r="http://schemas.openxmlformats.org/officeDocument/2006/relationships">
  <sheetPr>
    <tabColor indexed="29"/>
    <pageSetUpPr fitToPage="1"/>
  </sheetPr>
  <dimension ref="A1:K69"/>
  <sheetViews>
    <sheetView view="pageBreakPreview" zoomScale="60" zoomScaleNormal="80" zoomScalePageLayoutView="0" workbookViewId="0" topLeftCell="A1">
      <selection activeCell="I41" sqref="A1:I41"/>
    </sheetView>
  </sheetViews>
  <sheetFormatPr defaultColWidth="9.140625" defaultRowHeight="12.75"/>
  <cols>
    <col min="1" max="1" width="34.8515625" style="311" customWidth="1"/>
    <col min="2" max="5" width="12.00390625" style="311" customWidth="1"/>
    <col min="6" max="6" width="11.421875" style="311" customWidth="1"/>
    <col min="7" max="7" width="12.421875" style="311" customWidth="1"/>
    <col min="8" max="8" width="9.140625" style="311" hidden="1" customWidth="1"/>
    <col min="9" max="9" width="31.28125" style="219" customWidth="1"/>
    <col min="10" max="10" width="11.00390625" style="295" customWidth="1"/>
    <col min="11" max="11" width="15.421875" style="1" customWidth="1"/>
    <col min="12" max="16384" width="9.140625" style="311" customWidth="1"/>
  </cols>
  <sheetData>
    <row r="1" spans="1:11" ht="18">
      <c r="A1" s="304" t="s">
        <v>165</v>
      </c>
      <c r="B1" s="86"/>
      <c r="C1" s="86"/>
      <c r="D1" s="86"/>
      <c r="E1" s="86"/>
      <c r="F1" s="86"/>
      <c r="G1" s="85"/>
      <c r="H1" s="312"/>
      <c r="I1" s="312"/>
      <c r="K1" s="305"/>
    </row>
    <row r="2" spans="1:9" ht="18">
      <c r="A2" s="304"/>
      <c r="B2" s="86"/>
      <c r="C2" s="86"/>
      <c r="D2" s="86"/>
      <c r="E2" s="86"/>
      <c r="F2" s="86"/>
      <c r="G2" s="85"/>
      <c r="H2" s="312"/>
      <c r="I2" s="312"/>
    </row>
    <row r="3" spans="1:9" ht="15">
      <c r="A3" s="211" t="s">
        <v>363</v>
      </c>
      <c r="B3" s="212" t="s">
        <v>225</v>
      </c>
      <c r="C3" s="205"/>
      <c r="D3" s="205"/>
      <c r="E3" s="205"/>
      <c r="F3" s="205"/>
      <c r="G3" s="189"/>
      <c r="H3" s="312"/>
      <c r="I3" s="312"/>
    </row>
    <row r="4" spans="1:9" ht="27.75" customHeight="1">
      <c r="A4" s="211" t="s">
        <v>364</v>
      </c>
      <c r="B4" s="213" t="str">
        <f>'Snapshot |15 Major Activities'!B3</f>
        <v>Expansion of Successful Poverty Reduction and Women’s Empowerment Model in West Africa Project Number 45498</v>
      </c>
      <c r="C4" s="213"/>
      <c r="D4" s="213"/>
      <c r="E4" s="213"/>
      <c r="F4" s="213"/>
      <c r="G4" s="213"/>
      <c r="H4" s="312"/>
      <c r="I4" s="312"/>
    </row>
    <row r="5" spans="1:10" s="1" customFormat="1" ht="30.75" customHeight="1">
      <c r="A5" s="214" t="s">
        <v>168</v>
      </c>
      <c r="B5" s="390" t="str">
        <f>'Snapshot |15 Major Activities'!B6:C6</f>
        <v>To enable governments to upscale their MFP programs by consolidating field-proven best practices into rural agro-enterprise models that are replicable and scalable across West Africa and other Sub Saharan countries.</v>
      </c>
      <c r="C5" s="390"/>
      <c r="D5" s="390"/>
      <c r="E5" s="390"/>
      <c r="F5" s="390"/>
      <c r="G5" s="390"/>
      <c r="H5" s="390"/>
      <c r="I5" s="390"/>
      <c r="J5" s="295"/>
    </row>
    <row r="6" spans="1:9" ht="30" customHeight="1" thickBot="1">
      <c r="A6" s="215" t="s">
        <v>201</v>
      </c>
      <c r="B6" s="388" t="str">
        <f>'Basic Info'!C38</f>
        <v>Develop and launch full-scale national MFP programs and lending proposals for all four countries based on agro-enterprise models that are replicable and scaleable across the sub-region</v>
      </c>
      <c r="C6" s="388"/>
      <c r="D6" s="388"/>
      <c r="E6" s="388"/>
      <c r="F6" s="388"/>
      <c r="G6" s="388"/>
      <c r="H6" s="388"/>
      <c r="I6" s="388"/>
    </row>
    <row r="7" spans="1:11" ht="46.5">
      <c r="A7" s="53" t="s">
        <v>404</v>
      </c>
      <c r="B7" s="51" t="s">
        <v>405</v>
      </c>
      <c r="C7" s="51" t="s">
        <v>409</v>
      </c>
      <c r="D7" s="51" t="s">
        <v>410</v>
      </c>
      <c r="E7" s="51" t="s">
        <v>171</v>
      </c>
      <c r="F7" s="51" t="s">
        <v>169</v>
      </c>
      <c r="G7" s="248" t="s">
        <v>411</v>
      </c>
      <c r="H7" s="52" t="s">
        <v>374</v>
      </c>
      <c r="I7" s="216" t="s">
        <v>362</v>
      </c>
      <c r="J7" s="306"/>
      <c r="K7" s="307"/>
    </row>
    <row r="8" spans="1:11" ht="14.25">
      <c r="A8" s="303" t="s">
        <v>353</v>
      </c>
      <c r="B8" s="55">
        <f>SUM(B9:B12)</f>
        <v>0</v>
      </c>
      <c r="C8" s="55">
        <f>SUM(C9:C12)</f>
        <v>88000</v>
      </c>
      <c r="D8" s="55">
        <f>SUM(D9:D12)</f>
        <v>32000</v>
      </c>
      <c r="E8" s="55">
        <f>SUM(E9:E12)</f>
        <v>92000</v>
      </c>
      <c r="F8" s="55">
        <f>SUM(F9:F12)</f>
        <v>0</v>
      </c>
      <c r="G8" s="249">
        <f>SUM(B8:F8)</f>
        <v>212000</v>
      </c>
      <c r="H8" s="19"/>
      <c r="I8" s="19"/>
      <c r="K8" s="267"/>
    </row>
    <row r="9" spans="1:9" ht="14.25">
      <c r="A9" s="132" t="s">
        <v>399</v>
      </c>
      <c r="B9" s="61"/>
      <c r="C9" s="61"/>
      <c r="D9" s="61"/>
      <c r="E9" s="61"/>
      <c r="F9" s="61"/>
      <c r="G9" s="250"/>
      <c r="H9" s="43"/>
      <c r="I9" s="19"/>
    </row>
    <row r="10" spans="1:9" ht="42" customHeight="1">
      <c r="A10" s="11" t="s">
        <v>103</v>
      </c>
      <c r="B10" s="61"/>
      <c r="C10" s="61">
        <f>2*8000</f>
        <v>16000</v>
      </c>
      <c r="D10" s="61">
        <f>4*8000</f>
        <v>32000</v>
      </c>
      <c r="E10" s="61">
        <f>4*8000</f>
        <v>32000</v>
      </c>
      <c r="F10" s="61"/>
      <c r="G10" s="250"/>
      <c r="H10" s="18"/>
      <c r="I10" s="11" t="s">
        <v>491</v>
      </c>
    </row>
    <row r="11" spans="1:9" ht="51.75" customHeight="1">
      <c r="A11" s="11" t="s">
        <v>539</v>
      </c>
      <c r="B11" s="61"/>
      <c r="C11" s="61">
        <f>8000*3*1.5</f>
        <v>36000</v>
      </c>
      <c r="D11" s="61"/>
      <c r="E11" s="61">
        <f>8000*3*1</f>
        <v>24000</v>
      </c>
      <c r="F11" s="61"/>
      <c r="G11" s="250"/>
      <c r="H11" s="18"/>
      <c r="I11" s="11" t="s">
        <v>235</v>
      </c>
    </row>
    <row r="12" spans="1:9" ht="38.25" customHeight="1">
      <c r="A12" s="23" t="s">
        <v>484</v>
      </c>
      <c r="B12" s="207"/>
      <c r="C12" s="207">
        <f>8000*1.5*3</f>
        <v>36000</v>
      </c>
      <c r="D12" s="207"/>
      <c r="E12" s="207">
        <f>8000*1.5*3</f>
        <v>36000</v>
      </c>
      <c r="F12" s="207"/>
      <c r="G12" s="252"/>
      <c r="H12" s="24"/>
      <c r="I12" s="23" t="s">
        <v>459</v>
      </c>
    </row>
    <row r="13" spans="1:10" ht="14.25">
      <c r="A13" s="303" t="s">
        <v>354</v>
      </c>
      <c r="B13" s="55">
        <f>SUM(B14:B16)</f>
        <v>0</v>
      </c>
      <c r="C13" s="55">
        <f>SUM(C14:C16)</f>
        <v>0</v>
      </c>
      <c r="D13" s="55">
        <f>SUM(D14:D16)</f>
        <v>0</v>
      </c>
      <c r="E13" s="55">
        <f>SUM(E14:E16)</f>
        <v>0</v>
      </c>
      <c r="F13" s="55">
        <f>SUM(F14:F16)</f>
        <v>0</v>
      </c>
      <c r="G13" s="249">
        <f>SUM(B13:F13)</f>
        <v>0</v>
      </c>
      <c r="H13" s="43"/>
      <c r="I13" s="19"/>
      <c r="J13" s="296"/>
    </row>
    <row r="14" spans="1:10" ht="14.25">
      <c r="A14" s="132" t="s">
        <v>406</v>
      </c>
      <c r="B14" s="61"/>
      <c r="C14" s="61"/>
      <c r="D14" s="61"/>
      <c r="E14" s="61"/>
      <c r="F14" s="61"/>
      <c r="G14" s="250"/>
      <c r="H14" s="43"/>
      <c r="I14" s="19"/>
      <c r="J14" s="312"/>
    </row>
    <row r="15" spans="1:9" ht="14.25">
      <c r="A15" s="132"/>
      <c r="B15" s="61"/>
      <c r="C15" s="61"/>
      <c r="D15" s="61"/>
      <c r="E15" s="61"/>
      <c r="F15" s="61"/>
      <c r="G15" s="250"/>
      <c r="H15" s="43"/>
      <c r="I15" s="19"/>
    </row>
    <row r="16" spans="1:9" ht="14.25">
      <c r="A16" s="34"/>
      <c r="B16" s="207"/>
      <c r="C16" s="207"/>
      <c r="D16" s="207"/>
      <c r="E16" s="207"/>
      <c r="F16" s="207"/>
      <c r="G16" s="252"/>
      <c r="H16" s="44"/>
      <c r="I16" s="34"/>
    </row>
    <row r="17" spans="1:9" ht="15">
      <c r="A17" s="310" t="s">
        <v>352</v>
      </c>
      <c r="B17" s="55">
        <f>SUM(B18:B22)</f>
        <v>40000</v>
      </c>
      <c r="C17" s="55">
        <f>SUM(C18:C22)</f>
        <v>82000</v>
      </c>
      <c r="D17" s="55">
        <f>SUM(D18:D22)</f>
        <v>32000</v>
      </c>
      <c r="E17" s="55">
        <f>SUM(E18:E22)</f>
        <v>82000</v>
      </c>
      <c r="F17" s="222">
        <f>SUM(F18:F22)</f>
        <v>0</v>
      </c>
      <c r="G17" s="249">
        <f>SUM(B17:F17)</f>
        <v>236000</v>
      </c>
      <c r="H17" s="19"/>
      <c r="I17" s="19"/>
    </row>
    <row r="18" spans="1:11" ht="22.5">
      <c r="A18" s="19" t="s">
        <v>107</v>
      </c>
      <c r="B18" s="61"/>
      <c r="C18" s="61">
        <f>3*2500</f>
        <v>7500</v>
      </c>
      <c r="D18" s="61">
        <f>3*2500</f>
        <v>7500</v>
      </c>
      <c r="E18" s="61">
        <f>3*2500</f>
        <v>7500</v>
      </c>
      <c r="F18" s="61"/>
      <c r="G18" s="253"/>
      <c r="H18" s="1"/>
      <c r="I18" s="13" t="s">
        <v>108</v>
      </c>
      <c r="K18" s="267"/>
    </row>
    <row r="19" spans="1:9" ht="30.75" customHeight="1">
      <c r="A19" s="19" t="s">
        <v>184</v>
      </c>
      <c r="B19" s="61"/>
      <c r="C19" s="61">
        <f>1500*3</f>
        <v>4500</v>
      </c>
      <c r="D19" s="61">
        <f>1500*3</f>
        <v>4500</v>
      </c>
      <c r="E19" s="61">
        <f>1500*3</f>
        <v>4500</v>
      </c>
      <c r="F19" s="61"/>
      <c r="G19" s="253"/>
      <c r="H19" s="1"/>
      <c r="I19" s="13" t="s">
        <v>470</v>
      </c>
    </row>
    <row r="20" spans="1:11" ht="44.25" customHeight="1">
      <c r="A20" s="19" t="s">
        <v>535</v>
      </c>
      <c r="B20" s="61"/>
      <c r="C20" s="61">
        <f>(15000*4)*50%</f>
        <v>30000</v>
      </c>
      <c r="D20" s="61"/>
      <c r="E20" s="61">
        <f>(15000*4)*50%</f>
        <v>30000</v>
      </c>
      <c r="F20" s="61"/>
      <c r="G20" s="253"/>
      <c r="H20" s="86"/>
      <c r="I20" s="189" t="s">
        <v>130</v>
      </c>
      <c r="K20" s="267"/>
    </row>
    <row r="21" spans="1:9" ht="31.5" customHeight="1">
      <c r="A21" s="13" t="s">
        <v>533</v>
      </c>
      <c r="B21" s="61">
        <v>20000</v>
      </c>
      <c r="C21" s="61">
        <v>20000</v>
      </c>
      <c r="D21" s="61">
        <v>20000</v>
      </c>
      <c r="E21" s="61"/>
      <c r="F21" s="61"/>
      <c r="G21" s="253"/>
      <c r="H21" s="86"/>
      <c r="I21" s="189" t="s">
        <v>129</v>
      </c>
    </row>
    <row r="22" spans="1:9" ht="45" customHeight="1">
      <c r="A22" s="34" t="s">
        <v>534</v>
      </c>
      <c r="B22" s="207">
        <v>20000</v>
      </c>
      <c r="C22" s="207">
        <v>20000</v>
      </c>
      <c r="D22" s="207"/>
      <c r="E22" s="207">
        <f>20000*2</f>
        <v>40000</v>
      </c>
      <c r="F22" s="207"/>
      <c r="G22" s="251"/>
      <c r="H22" s="200"/>
      <c r="I22" s="201"/>
    </row>
    <row r="23" spans="1:9" ht="14.25" customHeight="1">
      <c r="A23" s="303" t="s">
        <v>359</v>
      </c>
      <c r="B23" s="55">
        <f>SUM(B24:B26)</f>
        <v>0</v>
      </c>
      <c r="C23" s="55">
        <f>SUM(C24:C26)</f>
        <v>156000</v>
      </c>
      <c r="D23" s="55">
        <f>SUM(D24:D26)</f>
        <v>36000</v>
      </c>
      <c r="E23" s="55">
        <f>SUM(E24:E26)</f>
        <v>96000</v>
      </c>
      <c r="F23" s="55">
        <f>SUM(F24:F26)</f>
        <v>0</v>
      </c>
      <c r="G23" s="249">
        <f>SUM(B23:F23)</f>
        <v>288000</v>
      </c>
      <c r="H23" s="19"/>
      <c r="I23" s="19"/>
    </row>
    <row r="24" spans="1:11" ht="22.5">
      <c r="A24" s="19" t="s">
        <v>536</v>
      </c>
      <c r="B24" s="61"/>
      <c r="C24" s="61">
        <f>3000*4*3</f>
        <v>36000</v>
      </c>
      <c r="D24" s="61">
        <f>3000*4*3</f>
        <v>36000</v>
      </c>
      <c r="E24" s="61">
        <f>3000*4*3</f>
        <v>36000</v>
      </c>
      <c r="F24" s="61"/>
      <c r="G24" s="253"/>
      <c r="H24" s="1"/>
      <c r="I24" s="13" t="s">
        <v>490</v>
      </c>
      <c r="K24" s="267"/>
    </row>
    <row r="25" spans="1:10" ht="27" customHeight="1">
      <c r="A25" s="11" t="s">
        <v>537</v>
      </c>
      <c r="B25" s="61"/>
      <c r="C25" s="61">
        <f>15000*2*2</f>
        <v>60000</v>
      </c>
      <c r="D25" s="61"/>
      <c r="E25" s="61">
        <f>15000*2*1</f>
        <v>30000</v>
      </c>
      <c r="F25" s="61"/>
      <c r="G25" s="253"/>
      <c r="H25" s="1"/>
      <c r="I25" s="284" t="s">
        <v>423</v>
      </c>
      <c r="J25" s="300"/>
    </row>
    <row r="26" spans="1:10" ht="40.5" customHeight="1">
      <c r="A26" s="23" t="s">
        <v>537</v>
      </c>
      <c r="B26" s="207"/>
      <c r="C26" s="207">
        <f>15000*2*2</f>
        <v>60000</v>
      </c>
      <c r="D26" s="207"/>
      <c r="E26" s="207">
        <f>15000*2*1</f>
        <v>30000</v>
      </c>
      <c r="F26" s="207"/>
      <c r="G26" s="251"/>
      <c r="H26" s="35"/>
      <c r="I26" s="285" t="s">
        <v>424</v>
      </c>
      <c r="J26" s="300"/>
    </row>
    <row r="27" spans="1:11" ht="12.75">
      <c r="A27" s="303" t="s">
        <v>356</v>
      </c>
      <c r="B27" s="55">
        <f>SUM(B28:B29)</f>
        <v>0</v>
      </c>
      <c r="C27" s="55">
        <f>SUM(C28:C29)</f>
        <v>10000</v>
      </c>
      <c r="D27" s="55">
        <f>SUM(D28:D29)</f>
        <v>5000</v>
      </c>
      <c r="E27" s="55">
        <f>SUM(E28:E29)</f>
        <v>5000</v>
      </c>
      <c r="F27" s="55">
        <f>SUM(F28:F29)</f>
        <v>0</v>
      </c>
      <c r="G27" s="249">
        <f>SUM(B27:F27)</f>
        <v>20000</v>
      </c>
      <c r="H27" s="43"/>
      <c r="I27" s="19"/>
      <c r="J27" s="296"/>
      <c r="K27" s="267"/>
    </row>
    <row r="28" spans="1:9" ht="45">
      <c r="A28" s="19" t="s">
        <v>538</v>
      </c>
      <c r="B28" s="61"/>
      <c r="C28" s="61">
        <v>10000</v>
      </c>
      <c r="D28" s="61"/>
      <c r="E28" s="61">
        <v>5000</v>
      </c>
      <c r="F28" s="61"/>
      <c r="G28" s="249"/>
      <c r="H28" s="43"/>
      <c r="I28" s="189" t="s">
        <v>126</v>
      </c>
    </row>
    <row r="29" spans="1:9" ht="22.5">
      <c r="A29" s="19" t="s">
        <v>128</v>
      </c>
      <c r="B29" s="206"/>
      <c r="C29" s="206"/>
      <c r="D29" s="206">
        <v>5000</v>
      </c>
      <c r="E29" s="206"/>
      <c r="F29" s="206"/>
      <c r="G29" s="251"/>
      <c r="H29" s="200"/>
      <c r="I29" s="34" t="s">
        <v>127</v>
      </c>
    </row>
    <row r="30" spans="1:9" ht="14.25">
      <c r="A30" s="303" t="s">
        <v>357</v>
      </c>
      <c r="B30" s="55">
        <f>SUM(B31:B33)</f>
        <v>0</v>
      </c>
      <c r="C30" s="55">
        <f>SUM(C31:C33)</f>
        <v>0</v>
      </c>
      <c r="D30" s="55">
        <f>SUM(D31:D33)</f>
        <v>37500</v>
      </c>
      <c r="E30" s="55">
        <f>SUM(E31:E33)</f>
        <v>37500</v>
      </c>
      <c r="F30" s="55">
        <f>SUM(F31:F33)</f>
        <v>0</v>
      </c>
      <c r="G30" s="249">
        <f>SUM(B30:F30)</f>
        <v>75000</v>
      </c>
      <c r="H30" s="19"/>
      <c r="I30" s="19"/>
    </row>
    <row r="31" spans="1:9" ht="12.75" customHeight="1">
      <c r="A31" s="132" t="s">
        <v>406</v>
      </c>
      <c r="B31" s="61"/>
      <c r="C31" s="61"/>
      <c r="D31" s="61"/>
      <c r="E31" s="61"/>
      <c r="F31" s="61"/>
      <c r="G31" s="250"/>
      <c r="H31" s="43"/>
      <c r="I31" s="19"/>
    </row>
    <row r="32" spans="1:9" ht="24.75" customHeight="1">
      <c r="A32" s="10" t="s">
        <v>541</v>
      </c>
      <c r="B32" s="61"/>
      <c r="C32" s="61"/>
      <c r="D32" s="61">
        <f>1*37500</f>
        <v>37500</v>
      </c>
      <c r="E32" s="61">
        <f>1*37500</f>
        <v>37500</v>
      </c>
      <c r="F32" s="61"/>
      <c r="G32" s="253"/>
      <c r="H32" s="1"/>
      <c r="I32" s="13" t="s">
        <v>492</v>
      </c>
    </row>
    <row r="33" spans="1:9" ht="14.25">
      <c r="A33" s="200"/>
      <c r="B33" s="206"/>
      <c r="C33" s="206"/>
      <c r="D33" s="206"/>
      <c r="E33" s="206"/>
      <c r="F33" s="206"/>
      <c r="G33" s="251"/>
      <c r="H33" s="200"/>
      <c r="I33" s="201"/>
    </row>
    <row r="34" spans="1:11" ht="14.25">
      <c r="A34" s="303" t="s">
        <v>358</v>
      </c>
      <c r="B34" s="55">
        <f>SUM(B35:B36)</f>
        <v>0</v>
      </c>
      <c r="C34" s="55">
        <f>SUM(C35:C36)</f>
        <v>0</v>
      </c>
      <c r="D34" s="55">
        <f>SUM(D35:D36)</f>
        <v>0</v>
      </c>
      <c r="E34" s="55">
        <f>SUM(E35:E36)</f>
        <v>0</v>
      </c>
      <c r="F34" s="55">
        <f>SUM(F35:F36)</f>
        <v>0</v>
      </c>
      <c r="G34" s="249">
        <f>SUM(B34:F34)</f>
        <v>0</v>
      </c>
      <c r="H34" s="19"/>
      <c r="I34" s="19"/>
      <c r="K34" s="267"/>
    </row>
    <row r="35" spans="1:9" ht="14.25">
      <c r="A35" s="132" t="s">
        <v>408</v>
      </c>
      <c r="B35" s="61"/>
      <c r="C35" s="61"/>
      <c r="D35" s="61"/>
      <c r="E35" s="61"/>
      <c r="F35" s="61"/>
      <c r="G35" s="250"/>
      <c r="H35" s="43"/>
      <c r="I35" s="19"/>
    </row>
    <row r="36" spans="1:11" ht="14.25">
      <c r="A36" s="200"/>
      <c r="B36" s="206"/>
      <c r="C36" s="206"/>
      <c r="D36" s="206"/>
      <c r="E36" s="206"/>
      <c r="F36" s="206"/>
      <c r="G36" s="251"/>
      <c r="H36" s="200"/>
      <c r="I36" s="201"/>
      <c r="J36" s="312"/>
      <c r="K36" s="297"/>
    </row>
    <row r="37" spans="1:9" ht="14.25">
      <c r="A37" s="303" t="s">
        <v>355</v>
      </c>
      <c r="B37" s="55">
        <f>SUM(B38:B39)</f>
        <v>0</v>
      </c>
      <c r="C37" s="55">
        <f>SUM(C38:C39)</f>
        <v>0</v>
      </c>
      <c r="D37" s="55">
        <f>SUM(D38:D39)</f>
        <v>0</v>
      </c>
      <c r="E37" s="55">
        <f>SUM(E38:E39)</f>
        <v>0</v>
      </c>
      <c r="F37" s="55">
        <f>SUM(F38:F39)</f>
        <v>0</v>
      </c>
      <c r="G37" s="249">
        <f>SUM(B37:F37)</f>
        <v>0</v>
      </c>
      <c r="H37" s="19"/>
      <c r="I37" s="19"/>
    </row>
    <row r="38" spans="1:9" ht="27" customHeight="1">
      <c r="A38" s="132" t="s">
        <v>407</v>
      </c>
      <c r="B38" s="61"/>
      <c r="C38" s="61"/>
      <c r="D38" s="61"/>
      <c r="E38" s="61"/>
      <c r="F38" s="61"/>
      <c r="G38" s="250"/>
      <c r="H38" s="43"/>
      <c r="I38" s="19"/>
    </row>
    <row r="39" spans="1:9" ht="14.25">
      <c r="A39" s="200"/>
      <c r="B39" s="206"/>
      <c r="C39" s="206"/>
      <c r="D39" s="206"/>
      <c r="E39" s="206"/>
      <c r="F39" s="206"/>
      <c r="G39" s="251"/>
      <c r="H39" s="200"/>
      <c r="I39" s="201"/>
    </row>
    <row r="40" spans="1:11" ht="14.25">
      <c r="A40" s="309" t="s">
        <v>433</v>
      </c>
      <c r="B40" s="249">
        <f aca="true" t="shared" si="0" ref="B40:G40">SUM(B37,B34,B30,B27,B23,B17,B13,B8)</f>
        <v>40000</v>
      </c>
      <c r="C40" s="249">
        <f t="shared" si="0"/>
        <v>336000</v>
      </c>
      <c r="D40" s="249">
        <f t="shared" si="0"/>
        <v>142500</v>
      </c>
      <c r="E40" s="249">
        <f t="shared" si="0"/>
        <v>312500</v>
      </c>
      <c r="F40" s="249">
        <f t="shared" si="0"/>
        <v>0</v>
      </c>
      <c r="G40" s="249">
        <f t="shared" si="0"/>
        <v>831000</v>
      </c>
      <c r="H40" s="20"/>
      <c r="I40" s="19"/>
      <c r="K40" s="193"/>
    </row>
    <row r="41" spans="1:11" ht="15.75">
      <c r="A41" s="273"/>
      <c r="B41" s="274"/>
      <c r="C41" s="274"/>
      <c r="D41" s="274"/>
      <c r="E41" s="274"/>
      <c r="F41" s="274"/>
      <c r="G41" s="274"/>
      <c r="H41" s="275"/>
      <c r="I41" s="19"/>
      <c r="J41" s="306"/>
      <c r="K41" s="307"/>
    </row>
    <row r="42" spans="1:11" s="317" customFormat="1" ht="13.5" customHeight="1">
      <c r="A42" s="187"/>
      <c r="B42" s="243"/>
      <c r="C42" s="243"/>
      <c r="D42" s="243"/>
      <c r="E42" s="243"/>
      <c r="F42" s="243"/>
      <c r="G42" s="243"/>
      <c r="H42" s="187"/>
      <c r="I42" s="179"/>
      <c r="J42" s="295"/>
      <c r="K42" s="1"/>
    </row>
    <row r="43" spans="1:11" s="317" customFormat="1" ht="14.25">
      <c r="A43" s="303"/>
      <c r="B43" s="55"/>
      <c r="C43" s="55"/>
      <c r="D43" s="55"/>
      <c r="E43" s="55"/>
      <c r="F43" s="55"/>
      <c r="G43" s="55"/>
      <c r="H43" s="19"/>
      <c r="I43" s="179"/>
      <c r="J43" s="295"/>
      <c r="K43" s="1"/>
    </row>
    <row r="44" spans="1:11" s="317" customFormat="1" ht="12.75">
      <c r="A44" s="132"/>
      <c r="B44" s="61"/>
      <c r="C44" s="61"/>
      <c r="D44" s="61"/>
      <c r="E44" s="61"/>
      <c r="F44" s="61"/>
      <c r="G44" s="61"/>
      <c r="H44" s="43"/>
      <c r="I44" s="179"/>
      <c r="J44" s="312"/>
      <c r="K44" s="312"/>
    </row>
    <row r="45" spans="1:11" s="317" customFormat="1" ht="14.25">
      <c r="A45" s="187"/>
      <c r="B45" s="243"/>
      <c r="C45" s="243"/>
      <c r="D45" s="243"/>
      <c r="E45" s="243"/>
      <c r="F45" s="243"/>
      <c r="G45" s="243"/>
      <c r="H45" s="187"/>
      <c r="I45" s="179"/>
      <c r="J45" s="295"/>
      <c r="K45" s="1"/>
    </row>
    <row r="46" spans="1:11" s="317" customFormat="1" ht="14.25">
      <c r="A46" s="321"/>
      <c r="B46" s="55"/>
      <c r="C46" s="55"/>
      <c r="D46" s="55"/>
      <c r="E46" s="55"/>
      <c r="F46" s="55"/>
      <c r="G46" s="55"/>
      <c r="H46" s="20"/>
      <c r="I46" s="179"/>
      <c r="J46" s="295"/>
      <c r="K46" s="1"/>
    </row>
    <row r="47" spans="1:9" s="317" customFormat="1" ht="12.75">
      <c r="A47" s="29"/>
      <c r="B47" s="275"/>
      <c r="C47" s="275"/>
      <c r="D47" s="275"/>
      <c r="E47" s="275"/>
      <c r="F47" s="275"/>
      <c r="G47" s="275"/>
      <c r="H47" s="275"/>
      <c r="I47" s="179"/>
    </row>
    <row r="48" s="317" customFormat="1" ht="12.75">
      <c r="I48" s="276"/>
    </row>
    <row r="49" spans="9:11" s="317" customFormat="1" ht="14.25">
      <c r="I49" s="276"/>
      <c r="J49" s="295"/>
      <c r="K49" s="1"/>
    </row>
    <row r="50" spans="9:11" s="317" customFormat="1" ht="14.25">
      <c r="I50" s="276"/>
      <c r="J50" s="295"/>
      <c r="K50" s="1"/>
    </row>
    <row r="51" spans="9:11" s="317" customFormat="1" ht="14.25">
      <c r="I51" s="276"/>
      <c r="J51" s="295"/>
      <c r="K51" s="1"/>
    </row>
    <row r="52" spans="9:11" s="317" customFormat="1" ht="14.25">
      <c r="I52" s="276"/>
      <c r="J52" s="295"/>
      <c r="K52" s="1"/>
    </row>
    <row r="53" spans="9:11" s="317" customFormat="1" ht="14.25">
      <c r="I53" s="276"/>
      <c r="J53" s="295"/>
      <c r="K53" s="1"/>
    </row>
    <row r="54" spans="9:11" s="317" customFormat="1" ht="14.25">
      <c r="I54" s="276"/>
      <c r="J54" s="295"/>
      <c r="K54" s="1"/>
    </row>
    <row r="55" spans="9:11" s="317" customFormat="1" ht="14.25">
      <c r="I55" s="276"/>
      <c r="J55" s="295"/>
      <c r="K55" s="1"/>
    </row>
    <row r="56" spans="9:11" s="317" customFormat="1" ht="14.25">
      <c r="I56" s="276"/>
      <c r="J56" s="295"/>
      <c r="K56" s="1"/>
    </row>
    <row r="57" spans="9:11" s="317" customFormat="1" ht="14.25">
      <c r="I57" s="276"/>
      <c r="J57" s="295"/>
      <c r="K57" s="1"/>
    </row>
    <row r="58" spans="9:11" s="317" customFormat="1" ht="14.25">
      <c r="I58" s="276"/>
      <c r="J58" s="295"/>
      <c r="K58" s="1"/>
    </row>
    <row r="59" spans="9:11" s="317" customFormat="1" ht="14.25">
      <c r="I59" s="276"/>
      <c r="J59" s="295"/>
      <c r="K59" s="1"/>
    </row>
    <row r="60" spans="9:11" s="317" customFormat="1" ht="14.25">
      <c r="I60" s="276"/>
      <c r="J60" s="295"/>
      <c r="K60" s="1"/>
    </row>
    <row r="61" spans="9:11" s="317" customFormat="1" ht="14.25">
      <c r="I61" s="276"/>
      <c r="J61" s="295"/>
      <c r="K61" s="1"/>
    </row>
    <row r="62" spans="9:11" s="317" customFormat="1" ht="14.25">
      <c r="I62" s="276"/>
      <c r="J62" s="295"/>
      <c r="K62" s="1"/>
    </row>
    <row r="63" spans="9:11" s="317" customFormat="1" ht="14.25">
      <c r="I63" s="276"/>
      <c r="J63" s="295"/>
      <c r="K63" s="1"/>
    </row>
    <row r="64" spans="9:11" s="317" customFormat="1" ht="14.25">
      <c r="I64" s="276"/>
      <c r="J64" s="295"/>
      <c r="K64" s="1"/>
    </row>
    <row r="65" spans="9:11" s="317" customFormat="1" ht="14.25">
      <c r="I65" s="276"/>
      <c r="J65" s="295"/>
      <c r="K65" s="1"/>
    </row>
    <row r="66" spans="9:11" s="317" customFormat="1" ht="14.25">
      <c r="I66" s="276"/>
      <c r="J66" s="295"/>
      <c r="K66" s="1"/>
    </row>
    <row r="67" spans="9:11" s="317" customFormat="1" ht="14.25">
      <c r="I67" s="276"/>
      <c r="J67" s="295"/>
      <c r="K67" s="1"/>
    </row>
    <row r="68" spans="9:11" s="317" customFormat="1" ht="14.25">
      <c r="I68" s="276"/>
      <c r="J68" s="295"/>
      <c r="K68" s="1"/>
    </row>
    <row r="69" spans="9:11" s="317" customFormat="1" ht="14.25">
      <c r="I69" s="276"/>
      <c r="J69" s="295"/>
      <c r="K69" s="1"/>
    </row>
  </sheetData>
  <sheetProtection/>
  <mergeCells count="2">
    <mergeCell ref="B5:I5"/>
    <mergeCell ref="B6:I6"/>
  </mergeCells>
  <printOptions horizontalCentered="1"/>
  <pageMargins left="0.2362204724409449" right="0.2362204724409449" top="0.2362204724409449" bottom="0.5118110236220472" header="0" footer="0.2362204724409449"/>
  <pageSetup fitToHeight="1" fitToWidth="1" horizontalDpi="600" verticalDpi="600" orientation="portrait" paperSize="9" scale="73" r:id="rId2"/>
  <headerFooter alignWithMargins="0">
    <oddFooter>&amp;R&amp;8Page &amp;P of &amp;N
Rev: 04/15/05</oddFooter>
  </headerFooter>
  <rowBreaks count="1" manualBreakCount="1">
    <brk id="24" max="255" man="1"/>
  </rowBreaks>
  <drawing r:id="rId1"/>
</worksheet>
</file>

<file path=xl/worksheets/sheet18.xml><?xml version="1.0" encoding="utf-8"?>
<worksheet xmlns="http://schemas.openxmlformats.org/spreadsheetml/2006/main" xmlns:r="http://schemas.openxmlformats.org/officeDocument/2006/relationships">
  <sheetPr>
    <tabColor indexed="29"/>
    <pageSetUpPr fitToPage="1"/>
  </sheetPr>
  <dimension ref="A1:K48"/>
  <sheetViews>
    <sheetView view="pageBreakPreview" zoomScale="60" zoomScaleNormal="80" zoomScalePageLayoutView="0" workbookViewId="0" topLeftCell="A22">
      <selection activeCell="K38" sqref="K38"/>
    </sheetView>
  </sheetViews>
  <sheetFormatPr defaultColWidth="9.140625" defaultRowHeight="12.75"/>
  <cols>
    <col min="1" max="1" width="34.00390625" style="311" customWidth="1"/>
    <col min="2" max="5" width="12.00390625" style="311" customWidth="1"/>
    <col min="6" max="6" width="11.421875" style="311" customWidth="1"/>
    <col min="7" max="7" width="12.421875" style="311" customWidth="1"/>
    <col min="8" max="8" width="9.140625" style="311" hidden="1" customWidth="1"/>
    <col min="9" max="9" width="26.8515625" style="311" customWidth="1"/>
    <col min="10" max="10" width="11.00390625" style="295" customWidth="1"/>
    <col min="11" max="11" width="15.421875" style="1" customWidth="1"/>
    <col min="12" max="16384" width="9.140625" style="311" customWidth="1"/>
  </cols>
  <sheetData>
    <row r="1" spans="1:11" ht="18">
      <c r="A1" s="304" t="s">
        <v>165</v>
      </c>
      <c r="B1" s="1"/>
      <c r="C1" s="1"/>
      <c r="D1" s="1"/>
      <c r="E1" s="1"/>
      <c r="F1" s="1"/>
      <c r="G1" s="2"/>
      <c r="K1" s="305"/>
    </row>
    <row r="2" spans="1:7" ht="18">
      <c r="A2" s="304"/>
      <c r="B2" s="1"/>
      <c r="C2" s="1"/>
      <c r="D2" s="1"/>
      <c r="E2" s="1"/>
      <c r="F2" s="1"/>
      <c r="G2" s="2"/>
    </row>
    <row r="3" spans="1:7" ht="15">
      <c r="A3" s="47" t="s">
        <v>363</v>
      </c>
      <c r="B3" s="81" t="s">
        <v>225</v>
      </c>
      <c r="C3" s="10"/>
      <c r="D3" s="10"/>
      <c r="E3" s="10"/>
      <c r="F3" s="10"/>
      <c r="G3" s="13"/>
    </row>
    <row r="4" spans="1:7" ht="15">
      <c r="A4" s="47" t="s">
        <v>364</v>
      </c>
      <c r="B4" s="182" t="str">
        <f>'Snapshot |15 Major Activities'!B3</f>
        <v>Expansion of Successful Poverty Reduction and Women’s Empowerment Model in West Africa Project Number 45498</v>
      </c>
      <c r="C4" s="182"/>
      <c r="D4" s="182"/>
      <c r="E4" s="182"/>
      <c r="F4" s="182"/>
      <c r="G4" s="182"/>
    </row>
    <row r="5" spans="1:10" s="1" customFormat="1" ht="30.75" customHeight="1">
      <c r="A5" s="49" t="s">
        <v>168</v>
      </c>
      <c r="B5" s="384" t="str">
        <f>'Snapshot |15 Major Activities'!B6:C6</f>
        <v>To enable governments to upscale their MFP programs by consolidating field-proven best practices into rural agro-enterprise models that are replicable and scalable across West Africa and other Sub Saharan countries.</v>
      </c>
      <c r="C5" s="384"/>
      <c r="D5" s="384"/>
      <c r="E5" s="384"/>
      <c r="F5" s="384"/>
      <c r="G5" s="384"/>
      <c r="H5" s="384"/>
      <c r="I5" s="384"/>
      <c r="J5" s="295"/>
    </row>
    <row r="6" spans="1:9" ht="44.25" customHeight="1" thickBot="1">
      <c r="A6" s="48" t="s">
        <v>202</v>
      </c>
      <c r="B6" s="386" t="str">
        <f>'Basic Info'!C39</f>
        <v>Develop and share with the international development community (e.g. donors, governments, etc) a strategy for how to replicate MFP-based agro-enterprises in ECOWAS and other Sub Saharan countries</v>
      </c>
      <c r="C6" s="386"/>
      <c r="D6" s="386"/>
      <c r="E6" s="386"/>
      <c r="F6" s="386"/>
      <c r="G6" s="386"/>
      <c r="H6" s="386"/>
      <c r="I6" s="386"/>
    </row>
    <row r="7" spans="1:11" ht="46.5">
      <c r="A7" s="53" t="s">
        <v>404</v>
      </c>
      <c r="B7" s="51" t="s">
        <v>405</v>
      </c>
      <c r="C7" s="51" t="s">
        <v>409</v>
      </c>
      <c r="D7" s="51" t="s">
        <v>410</v>
      </c>
      <c r="E7" s="51" t="s">
        <v>171</v>
      </c>
      <c r="F7" s="51" t="s">
        <v>169</v>
      </c>
      <c r="G7" s="248" t="s">
        <v>411</v>
      </c>
      <c r="H7" s="52" t="s">
        <v>374</v>
      </c>
      <c r="I7" s="54" t="s">
        <v>362</v>
      </c>
      <c r="J7" s="306"/>
      <c r="K7" s="307"/>
    </row>
    <row r="8" spans="1:11" ht="14.25">
      <c r="A8" s="302" t="s">
        <v>353</v>
      </c>
      <c r="B8" s="176">
        <f>SUM(B9:B13)</f>
        <v>0</v>
      </c>
      <c r="C8" s="176">
        <f>SUM(C9:C13)</f>
        <v>0</v>
      </c>
      <c r="D8" s="176">
        <f>SUM(D9:D13)</f>
        <v>32000</v>
      </c>
      <c r="E8" s="176">
        <f>SUM(E9:E13)</f>
        <v>32000</v>
      </c>
      <c r="F8" s="176">
        <f>SUM(F9:F13)</f>
        <v>0</v>
      </c>
      <c r="G8" s="249">
        <f>SUM(B8:F8)</f>
        <v>64000</v>
      </c>
      <c r="H8" s="11"/>
      <c r="I8" s="11"/>
      <c r="K8" s="267"/>
    </row>
    <row r="9" spans="1:9" ht="14.25">
      <c r="A9" s="17" t="s">
        <v>399</v>
      </c>
      <c r="B9" s="56"/>
      <c r="C9" s="56"/>
      <c r="D9" s="56"/>
      <c r="E9" s="56"/>
      <c r="F9" s="56"/>
      <c r="G9" s="250"/>
      <c r="H9" s="18"/>
      <c r="I9" s="11"/>
    </row>
    <row r="10" spans="1:9" ht="45">
      <c r="A10" s="11" t="s">
        <v>420</v>
      </c>
      <c r="B10" s="61"/>
      <c r="C10" s="61"/>
      <c r="D10" s="61">
        <f>8000*4</f>
        <v>32000</v>
      </c>
      <c r="E10" s="61">
        <f>8000*2</f>
        <v>16000</v>
      </c>
      <c r="F10" s="61"/>
      <c r="G10" s="250"/>
      <c r="H10" s="18"/>
      <c r="I10" s="11" t="s">
        <v>474</v>
      </c>
    </row>
    <row r="11" spans="1:9" ht="14.25">
      <c r="A11" s="11"/>
      <c r="B11" s="61"/>
      <c r="C11" s="61"/>
      <c r="D11" s="61"/>
      <c r="E11" s="61"/>
      <c r="F11" s="61"/>
      <c r="G11" s="250"/>
      <c r="H11" s="43"/>
      <c r="I11" s="19"/>
    </row>
    <row r="12" spans="1:9" ht="33.75">
      <c r="A12" s="11" t="s">
        <v>239</v>
      </c>
      <c r="B12" s="61"/>
      <c r="C12" s="61"/>
      <c r="D12" s="61"/>
      <c r="E12" s="61">
        <f>8000*2</f>
        <v>16000</v>
      </c>
      <c r="F12" s="61"/>
      <c r="G12" s="250"/>
      <c r="H12" s="18"/>
      <c r="I12" s="11" t="s">
        <v>475</v>
      </c>
    </row>
    <row r="13" spans="1:10" ht="14.25">
      <c r="A13" s="200"/>
      <c r="B13" s="206"/>
      <c r="C13" s="206"/>
      <c r="D13" s="206"/>
      <c r="E13" s="206"/>
      <c r="F13" s="206"/>
      <c r="G13" s="251"/>
      <c r="H13" s="200"/>
      <c r="I13" s="201"/>
      <c r="J13" s="296"/>
    </row>
    <row r="14" spans="1:10" ht="14.25">
      <c r="A14" s="303" t="s">
        <v>354</v>
      </c>
      <c r="B14" s="55">
        <f>SUM(B15:B16)</f>
        <v>0</v>
      </c>
      <c r="C14" s="55">
        <f>SUM(C15:C16)</f>
        <v>0</v>
      </c>
      <c r="D14" s="55">
        <f>SUM(D15:D16)</f>
        <v>0</v>
      </c>
      <c r="E14" s="55">
        <f>SUM(E15:E16)</f>
        <v>0</v>
      </c>
      <c r="F14" s="55">
        <f>SUM(F15:F16)</f>
        <v>0</v>
      </c>
      <c r="G14" s="249">
        <f>SUM(B14:F14)</f>
        <v>0</v>
      </c>
      <c r="H14" s="43"/>
      <c r="I14" s="19"/>
      <c r="J14" s="312"/>
    </row>
    <row r="15" spans="1:9" ht="14.25">
      <c r="A15" s="132" t="s">
        <v>406</v>
      </c>
      <c r="B15" s="61"/>
      <c r="C15" s="61"/>
      <c r="D15" s="61"/>
      <c r="E15" s="61"/>
      <c r="F15" s="61"/>
      <c r="G15" s="250"/>
      <c r="H15" s="43"/>
      <c r="I15" s="19"/>
    </row>
    <row r="16" spans="1:9" ht="14.25">
      <c r="A16" s="34"/>
      <c r="B16" s="207"/>
      <c r="C16" s="207"/>
      <c r="D16" s="207"/>
      <c r="E16" s="207"/>
      <c r="F16" s="207"/>
      <c r="G16" s="252"/>
      <c r="H16" s="44"/>
      <c r="I16" s="34"/>
    </row>
    <row r="17" spans="1:9" ht="15">
      <c r="A17" s="310" t="s">
        <v>352</v>
      </c>
      <c r="B17" s="55">
        <f>SUM(B18:B22)</f>
        <v>0</v>
      </c>
      <c r="C17" s="55">
        <f>SUM(C18:C22)</f>
        <v>0</v>
      </c>
      <c r="D17" s="55">
        <f>SUM(D18:D22)</f>
        <v>30000</v>
      </c>
      <c r="E17" s="55">
        <f>SUM(E18:E22)</f>
        <v>120000</v>
      </c>
      <c r="F17" s="55">
        <f>SUM(F18:F22)</f>
        <v>0</v>
      </c>
      <c r="G17" s="249">
        <f>SUM(B17:F17)</f>
        <v>150000</v>
      </c>
      <c r="H17" s="19"/>
      <c r="I17" s="19"/>
    </row>
    <row r="18" spans="1:11" s="279" customFormat="1" ht="14.25">
      <c r="A18" s="13" t="s">
        <v>236</v>
      </c>
      <c r="B18" s="61"/>
      <c r="C18" s="61"/>
      <c r="D18" s="61">
        <v>20000</v>
      </c>
      <c r="E18" s="61">
        <f>2*10000</f>
        <v>20000</v>
      </c>
      <c r="F18" s="61"/>
      <c r="G18" s="253"/>
      <c r="H18" s="1"/>
      <c r="J18" s="295"/>
      <c r="K18" s="267"/>
    </row>
    <row r="19" spans="1:11" s="279" customFormat="1" ht="26.25" customHeight="1">
      <c r="A19" s="19" t="s">
        <v>421</v>
      </c>
      <c r="B19" s="61"/>
      <c r="C19" s="61"/>
      <c r="D19" s="61">
        <f>4*2500</f>
        <v>10000</v>
      </c>
      <c r="E19" s="61">
        <f>4*2500</f>
        <v>10000</v>
      </c>
      <c r="F19" s="61"/>
      <c r="G19" s="253"/>
      <c r="H19" s="1"/>
      <c r="I19" s="13" t="s">
        <v>476</v>
      </c>
      <c r="J19" s="295"/>
      <c r="K19" s="1"/>
    </row>
    <row r="20" spans="1:11" s="279" customFormat="1" ht="14.25">
      <c r="A20" s="19"/>
      <c r="B20" s="61"/>
      <c r="C20" s="61"/>
      <c r="D20" s="61"/>
      <c r="E20" s="61"/>
      <c r="F20" s="61"/>
      <c r="G20" s="253"/>
      <c r="H20" s="1"/>
      <c r="J20" s="295"/>
      <c r="K20" s="267"/>
    </row>
    <row r="21" spans="1:11" s="279" customFormat="1" ht="22.5">
      <c r="A21" s="19" t="s">
        <v>237</v>
      </c>
      <c r="B21" s="61"/>
      <c r="C21" s="61"/>
      <c r="D21" s="61"/>
      <c r="E21" s="61">
        <f>2000*3*15</f>
        <v>90000</v>
      </c>
      <c r="F21" s="61"/>
      <c r="G21" s="254"/>
      <c r="H21" s="33"/>
      <c r="I21" s="11" t="s">
        <v>451</v>
      </c>
      <c r="J21" s="295"/>
      <c r="K21" s="1"/>
    </row>
    <row r="22" spans="1:11" s="279" customFormat="1" ht="22.5">
      <c r="A22" s="19" t="s">
        <v>238</v>
      </c>
      <c r="B22" s="61"/>
      <c r="C22" s="61"/>
      <c r="D22" s="61"/>
      <c r="F22" s="61"/>
      <c r="G22" s="254"/>
      <c r="H22" s="33"/>
      <c r="I22" s="19" t="s">
        <v>477</v>
      </c>
      <c r="J22" s="295"/>
      <c r="K22" s="1"/>
    </row>
    <row r="23" spans="1:9" ht="14.25">
      <c r="A23" s="34"/>
      <c r="B23" s="195"/>
      <c r="C23" s="195"/>
      <c r="D23" s="195"/>
      <c r="E23" s="195"/>
      <c r="F23" s="196"/>
      <c r="G23" s="251"/>
      <c r="H23" s="35"/>
      <c r="I23" s="23"/>
    </row>
    <row r="24" spans="1:11" s="181" customFormat="1" ht="42" customHeight="1">
      <c r="A24" s="303" t="s">
        <v>359</v>
      </c>
      <c r="B24" s="55">
        <f>SUM(B25:B28)</f>
        <v>0</v>
      </c>
      <c r="C24" s="55">
        <f>SUM(C25:C28)</f>
        <v>0</v>
      </c>
      <c r="D24" s="55">
        <f>SUM(D25:D28)</f>
        <v>15000</v>
      </c>
      <c r="E24" s="55">
        <f>SUM(E25:E28)</f>
        <v>15000</v>
      </c>
      <c r="F24" s="55">
        <f>SUM(F25:F28)</f>
        <v>0</v>
      </c>
      <c r="G24" s="249">
        <f>SUM(B24:F24)</f>
        <v>30000</v>
      </c>
      <c r="H24" s="19"/>
      <c r="I24" s="19"/>
      <c r="J24" s="295"/>
      <c r="K24" s="267"/>
    </row>
    <row r="25" spans="1:9" ht="14.25">
      <c r="A25" s="132" t="s">
        <v>406</v>
      </c>
      <c r="B25" s="204"/>
      <c r="C25" s="204"/>
      <c r="D25" s="204"/>
      <c r="E25" s="204"/>
      <c r="F25" s="204"/>
      <c r="G25" s="253"/>
      <c r="H25" s="86"/>
      <c r="I25" s="85"/>
    </row>
    <row r="26" spans="1:9" ht="33.75">
      <c r="A26" s="10" t="s">
        <v>240</v>
      </c>
      <c r="B26" s="61"/>
      <c r="C26" s="61"/>
      <c r="D26" s="61">
        <f>15000</f>
        <v>15000</v>
      </c>
      <c r="E26" s="61">
        <f>15000</f>
        <v>15000</v>
      </c>
      <c r="F26" s="61"/>
      <c r="G26" s="253"/>
      <c r="H26" s="1"/>
      <c r="I26" s="13" t="s">
        <v>478</v>
      </c>
    </row>
    <row r="27" spans="1:11" ht="14.25">
      <c r="A27" s="19"/>
      <c r="B27" s="61"/>
      <c r="C27" s="61"/>
      <c r="D27" s="61"/>
      <c r="E27" s="61"/>
      <c r="F27" s="61"/>
      <c r="G27" s="253"/>
      <c r="H27" s="86"/>
      <c r="I27" s="189"/>
      <c r="J27" s="296"/>
      <c r="K27" s="267"/>
    </row>
    <row r="28" spans="1:9" ht="14.25">
      <c r="A28" s="200"/>
      <c r="B28" s="206"/>
      <c r="C28" s="206"/>
      <c r="D28" s="206"/>
      <c r="E28" s="206"/>
      <c r="F28" s="206"/>
      <c r="G28" s="251"/>
      <c r="H28" s="200"/>
      <c r="I28" s="201"/>
    </row>
    <row r="29" spans="1:11" s="181" customFormat="1" ht="25.5" customHeight="1">
      <c r="A29" s="303" t="s">
        <v>356</v>
      </c>
      <c r="B29" s="55">
        <f>SUM(B30:B32)</f>
        <v>0</v>
      </c>
      <c r="C29" s="55">
        <f>SUM(C30:C32)</f>
        <v>0</v>
      </c>
      <c r="D29" s="55">
        <f>SUM(D30:D32)</f>
        <v>0</v>
      </c>
      <c r="E29" s="55">
        <f>SUM(E30:E32)</f>
        <v>10000</v>
      </c>
      <c r="F29" s="55">
        <f>SUM(F30:F32)</f>
        <v>0</v>
      </c>
      <c r="G29" s="249">
        <f>SUM(B29:F29)</f>
        <v>10000</v>
      </c>
      <c r="H29" s="43"/>
      <c r="I29" s="19"/>
      <c r="J29" s="295"/>
      <c r="K29" s="1"/>
    </row>
    <row r="30" spans="1:9" ht="14.25">
      <c r="A30" s="132" t="s">
        <v>407</v>
      </c>
      <c r="B30" s="61"/>
      <c r="C30" s="61"/>
      <c r="D30" s="61"/>
      <c r="E30" s="61"/>
      <c r="F30" s="61"/>
      <c r="G30" s="249"/>
      <c r="H30" s="43"/>
      <c r="I30" s="19"/>
    </row>
    <row r="31" spans="1:9" ht="14.25">
      <c r="A31" s="19" t="s">
        <v>468</v>
      </c>
      <c r="B31" s="61"/>
      <c r="C31" s="61"/>
      <c r="D31" s="61"/>
      <c r="E31" s="61">
        <v>10000</v>
      </c>
      <c r="F31" s="61"/>
      <c r="G31" s="253"/>
      <c r="H31" s="86"/>
      <c r="I31" s="189" t="s">
        <v>467</v>
      </c>
    </row>
    <row r="32" spans="1:9" ht="38.25" customHeight="1">
      <c r="A32" s="19" t="s">
        <v>466</v>
      </c>
      <c r="B32" s="61"/>
      <c r="C32" s="61"/>
      <c r="D32" s="61"/>
      <c r="E32" s="61"/>
      <c r="F32" s="61"/>
      <c r="G32" s="254"/>
      <c r="H32" s="187"/>
      <c r="I32" s="189" t="s">
        <v>415</v>
      </c>
    </row>
    <row r="33" spans="1:9" ht="14.25">
      <c r="A33" s="34"/>
      <c r="B33" s="195"/>
      <c r="C33" s="196"/>
      <c r="D33" s="196"/>
      <c r="E33" s="195"/>
      <c r="F33" s="195"/>
      <c r="G33" s="251"/>
      <c r="H33" s="200"/>
      <c r="I33" s="201"/>
    </row>
    <row r="34" spans="1:11" ht="14.25">
      <c r="A34" s="303" t="s">
        <v>357</v>
      </c>
      <c r="B34" s="55">
        <f>SUM(B35:B39)</f>
        <v>0</v>
      </c>
      <c r="C34" s="55">
        <f>SUM(C35:C39)</f>
        <v>0</v>
      </c>
      <c r="D34" s="55">
        <f>SUM(D35:D39)</f>
        <v>0</v>
      </c>
      <c r="E34" s="55">
        <f>SUM(E35:E39)</f>
        <v>55000</v>
      </c>
      <c r="F34" s="55">
        <f>SUM(F35:F39)</f>
        <v>0</v>
      </c>
      <c r="G34" s="249">
        <f>SUM(B34:F34)</f>
        <v>55000</v>
      </c>
      <c r="H34" s="19"/>
      <c r="I34" s="19"/>
      <c r="K34" s="267"/>
    </row>
    <row r="35" spans="1:9" ht="14.25">
      <c r="A35" s="132" t="s">
        <v>406</v>
      </c>
      <c r="B35" s="61"/>
      <c r="C35" s="61"/>
      <c r="D35" s="61"/>
      <c r="E35" s="61"/>
      <c r="F35" s="61"/>
      <c r="G35" s="250"/>
      <c r="H35" s="43"/>
      <c r="I35" s="19"/>
    </row>
    <row r="36" spans="1:11" ht="22.5">
      <c r="A36" s="10" t="s">
        <v>422</v>
      </c>
      <c r="B36" s="61"/>
      <c r="C36" s="61"/>
      <c r="D36" s="61"/>
      <c r="E36" s="61">
        <f>1*35000</f>
        <v>35000</v>
      </c>
      <c r="F36" s="61"/>
      <c r="G36" s="253"/>
      <c r="H36" s="1"/>
      <c r="I36" s="13" t="s">
        <v>508</v>
      </c>
      <c r="K36" s="297"/>
    </row>
    <row r="37" spans="1:9" ht="22.5">
      <c r="A37" s="19" t="s">
        <v>464</v>
      </c>
      <c r="B37" s="61"/>
      <c r="C37" s="61"/>
      <c r="D37" s="61"/>
      <c r="E37" s="61">
        <v>20000</v>
      </c>
      <c r="F37" s="61"/>
      <c r="G37" s="253"/>
      <c r="H37" s="86"/>
      <c r="I37" s="85"/>
    </row>
    <row r="38" spans="1:9" ht="22.5">
      <c r="A38" s="19" t="s">
        <v>465</v>
      </c>
      <c r="B38" s="61"/>
      <c r="C38" s="61"/>
      <c r="D38" s="61"/>
      <c r="E38" s="61"/>
      <c r="F38" s="61"/>
      <c r="G38" s="253"/>
      <c r="H38" s="86"/>
      <c r="I38" s="85"/>
    </row>
    <row r="39" spans="1:9" ht="14.25">
      <c r="A39" s="200"/>
      <c r="B39" s="206"/>
      <c r="C39" s="206"/>
      <c r="D39" s="206"/>
      <c r="E39" s="206"/>
      <c r="F39" s="206"/>
      <c r="G39" s="251"/>
      <c r="H39" s="200"/>
      <c r="I39" s="201"/>
    </row>
    <row r="40" spans="1:9" ht="14.25">
      <c r="A40" s="303" t="s">
        <v>358</v>
      </c>
      <c r="B40" s="55">
        <f>SUM(B41:B42)</f>
        <v>0</v>
      </c>
      <c r="C40" s="55">
        <f>SUM(C41:C42)</f>
        <v>0</v>
      </c>
      <c r="D40" s="55">
        <f>SUM(D41:D42)</f>
        <v>0</v>
      </c>
      <c r="E40" s="55">
        <f>SUM(E41:E42)</f>
        <v>0</v>
      </c>
      <c r="F40" s="55">
        <f>SUM(F41:F42)</f>
        <v>0</v>
      </c>
      <c r="G40" s="249">
        <f>SUM(B40:F40)</f>
        <v>0</v>
      </c>
      <c r="H40" s="19"/>
      <c r="I40" s="19"/>
    </row>
    <row r="41" spans="1:9" ht="14.25">
      <c r="A41" s="132" t="s">
        <v>408</v>
      </c>
      <c r="B41" s="61"/>
      <c r="C41" s="61"/>
      <c r="D41" s="61"/>
      <c r="E41" s="61"/>
      <c r="F41" s="61"/>
      <c r="G41" s="250"/>
      <c r="H41" s="43"/>
      <c r="I41" s="19"/>
    </row>
    <row r="42" spans="1:9" ht="14.25">
      <c r="A42" s="200"/>
      <c r="B42" s="206"/>
      <c r="C42" s="206"/>
      <c r="D42" s="206"/>
      <c r="E42" s="206"/>
      <c r="F42" s="206"/>
      <c r="G42" s="251"/>
      <c r="H42" s="200"/>
      <c r="I42" s="201"/>
    </row>
    <row r="43" spans="1:9" ht="14.25">
      <c r="A43" s="303" t="s">
        <v>355</v>
      </c>
      <c r="B43" s="55">
        <f>SUM(B44:B45)</f>
        <v>0</v>
      </c>
      <c r="C43" s="55">
        <f>SUM(C44:C45)</f>
        <v>0</v>
      </c>
      <c r="D43" s="55">
        <f>SUM(D44:D45)</f>
        <v>0</v>
      </c>
      <c r="E43" s="55">
        <f>SUM(E44:E45)</f>
        <v>0</v>
      </c>
      <c r="F43" s="55">
        <f>SUM(F44:F45)</f>
        <v>0</v>
      </c>
      <c r="G43" s="249">
        <f>SUM(B43:F43)</f>
        <v>0</v>
      </c>
      <c r="H43" s="19"/>
      <c r="I43" s="19"/>
    </row>
    <row r="44" spans="1:11" ht="12.75">
      <c r="A44" s="132" t="s">
        <v>407</v>
      </c>
      <c r="B44" s="61"/>
      <c r="C44" s="61"/>
      <c r="D44" s="61"/>
      <c r="E44" s="61"/>
      <c r="F44" s="61"/>
      <c r="G44" s="250"/>
      <c r="H44" s="43"/>
      <c r="I44" s="19"/>
      <c r="J44" s="312"/>
      <c r="K44" s="312"/>
    </row>
    <row r="45" spans="1:9" ht="14.25">
      <c r="A45" s="200"/>
      <c r="B45" s="206"/>
      <c r="C45" s="206"/>
      <c r="D45" s="206"/>
      <c r="E45" s="206"/>
      <c r="F45" s="206"/>
      <c r="G45" s="251"/>
      <c r="H45" s="200"/>
      <c r="I45" s="201"/>
    </row>
    <row r="46" spans="1:11" ht="14.25">
      <c r="A46" s="309" t="s">
        <v>434</v>
      </c>
      <c r="B46" s="249">
        <f aca="true" t="shared" si="0" ref="B46:G46">SUM(B43,B40,B34,B29,B24,B17,B14,B8)</f>
        <v>0</v>
      </c>
      <c r="C46" s="249">
        <f t="shared" si="0"/>
        <v>0</v>
      </c>
      <c r="D46" s="249">
        <f t="shared" si="0"/>
        <v>77000</v>
      </c>
      <c r="E46" s="249">
        <f t="shared" si="0"/>
        <v>232000</v>
      </c>
      <c r="F46" s="249">
        <f t="shared" si="0"/>
        <v>0</v>
      </c>
      <c r="G46" s="249">
        <f t="shared" si="0"/>
        <v>309000</v>
      </c>
      <c r="H46" s="79"/>
      <c r="I46" s="19"/>
      <c r="K46" s="193"/>
    </row>
    <row r="47" spans="1:11" ht="15.75">
      <c r="A47" s="258"/>
      <c r="B47" s="255"/>
      <c r="C47" s="255"/>
      <c r="D47" s="255"/>
      <c r="E47" s="255"/>
      <c r="F47" s="255"/>
      <c r="G47" s="255"/>
      <c r="H47" s="203"/>
      <c r="I47" s="34"/>
      <c r="J47" s="306"/>
      <c r="K47" s="307"/>
    </row>
    <row r="48" spans="10:11" ht="12.75">
      <c r="J48" s="317"/>
      <c r="K48" s="317"/>
    </row>
  </sheetData>
  <sheetProtection/>
  <mergeCells count="2">
    <mergeCell ref="B5:I5"/>
    <mergeCell ref="B6:I6"/>
  </mergeCells>
  <printOptions horizontalCentered="1"/>
  <pageMargins left="0.2362204724409449" right="0.2362204724409449" top="0.2362204724409449" bottom="0.5118110236220472" header="0" footer="0.2362204724409449"/>
  <pageSetup fitToHeight="1" fitToWidth="1" horizontalDpi="600" verticalDpi="600" orientation="portrait" paperSize="9" scale="76" r:id="rId2"/>
  <headerFooter alignWithMargins="0">
    <oddFooter>&amp;R&amp;8Page &amp;P of &amp;N
Rev: 04/15/05</oddFooter>
  </headerFooter>
  <rowBreaks count="1" manualBreakCount="1">
    <brk id="26" max="255"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AB253"/>
  <sheetViews>
    <sheetView view="pageBreakPreview" zoomScale="50" zoomScaleNormal="75" zoomScaleSheetLayoutView="50" zoomScalePageLayoutView="0" workbookViewId="0" topLeftCell="A1">
      <pane xSplit="2" ySplit="9" topLeftCell="C10" activePane="bottomRight" state="frozen"/>
      <selection pane="topLeft" activeCell="I9" sqref="I9"/>
      <selection pane="topRight" activeCell="I9" sqref="I9"/>
      <selection pane="bottomLeft" activeCell="I9" sqref="I9"/>
      <selection pane="bottomRight" activeCell="A1" sqref="A1:J173"/>
    </sheetView>
  </sheetViews>
  <sheetFormatPr defaultColWidth="9.140625" defaultRowHeight="12.75"/>
  <cols>
    <col min="1" max="1" width="5.140625" style="1" customWidth="1"/>
    <col min="2" max="2" width="52.00390625" style="1" customWidth="1"/>
    <col min="3" max="3" width="15.00390625" style="1" customWidth="1"/>
    <col min="4" max="6" width="12.00390625" style="1" customWidth="1"/>
    <col min="7" max="7" width="12.140625" style="1" customWidth="1"/>
    <col min="8" max="8" width="12.421875" style="1" customWidth="1"/>
    <col min="9" max="9" width="15.140625" style="76" customWidth="1"/>
    <col min="10" max="10" width="13.8515625" style="1" customWidth="1"/>
    <col min="11" max="11" width="26.140625" style="2" customWidth="1"/>
    <col min="12" max="12" width="13.140625" style="1" bestFit="1" customWidth="1"/>
    <col min="13" max="28" width="9.140625" style="1" customWidth="1"/>
    <col min="29" max="16384" width="9.140625" style="33" customWidth="1"/>
  </cols>
  <sheetData>
    <row r="1" spans="1:28" s="186" customFormat="1" ht="18">
      <c r="A1" s="7"/>
      <c r="B1" s="6" t="s">
        <v>165</v>
      </c>
      <c r="C1" s="7"/>
      <c r="D1" s="7"/>
      <c r="E1" s="7"/>
      <c r="F1" s="7"/>
      <c r="G1" s="7"/>
      <c r="H1" s="7"/>
      <c r="I1" s="64"/>
      <c r="J1" s="7"/>
      <c r="K1" s="8"/>
      <c r="L1" s="7"/>
      <c r="M1" s="7"/>
      <c r="N1" s="7"/>
      <c r="O1" s="7"/>
      <c r="P1" s="7"/>
      <c r="Q1" s="7"/>
      <c r="R1" s="7"/>
      <c r="S1" s="7"/>
      <c r="T1" s="7"/>
      <c r="U1" s="7"/>
      <c r="V1" s="7"/>
      <c r="W1" s="7"/>
      <c r="X1" s="7"/>
      <c r="Y1" s="7"/>
      <c r="Z1" s="7"/>
      <c r="AA1" s="7"/>
      <c r="AB1" s="7"/>
    </row>
    <row r="2" spans="1:28" s="186" customFormat="1" ht="18">
      <c r="A2" s="7"/>
      <c r="B2" s="6"/>
      <c r="C2" s="7"/>
      <c r="D2" s="7"/>
      <c r="E2" s="7"/>
      <c r="F2" s="7"/>
      <c r="G2" s="7"/>
      <c r="H2" s="7"/>
      <c r="I2" s="64"/>
      <c r="J2" s="7"/>
      <c r="K2" s="8"/>
      <c r="L2" s="7"/>
      <c r="M2" s="7"/>
      <c r="N2" s="7"/>
      <c r="O2" s="7"/>
      <c r="P2" s="7"/>
      <c r="Q2" s="7"/>
      <c r="R2" s="7"/>
      <c r="S2" s="7"/>
      <c r="T2" s="7"/>
      <c r="U2" s="7"/>
      <c r="V2" s="7"/>
      <c r="W2" s="7"/>
      <c r="X2" s="7"/>
      <c r="Y2" s="7"/>
      <c r="Z2" s="7"/>
      <c r="AA2" s="7"/>
      <c r="AB2" s="7"/>
    </row>
    <row r="3" spans="1:28" s="186" customFormat="1" ht="18">
      <c r="A3" s="7"/>
      <c r="B3" s="6"/>
      <c r="C3" s="7"/>
      <c r="D3" s="7"/>
      <c r="E3" s="7"/>
      <c r="F3" s="7"/>
      <c r="G3" s="7"/>
      <c r="H3" s="7"/>
      <c r="I3" s="64"/>
      <c r="J3" s="7"/>
      <c r="K3" s="8"/>
      <c r="L3" s="7"/>
      <c r="M3" s="7"/>
      <c r="N3" s="7"/>
      <c r="O3" s="7"/>
      <c r="P3" s="7"/>
      <c r="Q3" s="7"/>
      <c r="R3" s="7"/>
      <c r="S3" s="7"/>
      <c r="T3" s="7"/>
      <c r="U3" s="7"/>
      <c r="V3" s="7"/>
      <c r="W3" s="7"/>
      <c r="X3" s="7"/>
      <c r="Y3" s="7"/>
      <c r="Z3" s="7"/>
      <c r="AA3" s="7"/>
      <c r="AB3" s="7"/>
    </row>
    <row r="4" spans="2:11" ht="14.25">
      <c r="B4" s="47" t="s">
        <v>363</v>
      </c>
      <c r="C4" s="80" t="str">
        <f>'Major Activity 1'!B2</f>
        <v>UNDP</v>
      </c>
      <c r="D4" s="10"/>
      <c r="E4" s="10"/>
      <c r="F4" s="10"/>
      <c r="G4" s="10"/>
      <c r="H4" s="10"/>
      <c r="I4" s="65"/>
      <c r="J4" s="10"/>
      <c r="K4" s="13"/>
    </row>
    <row r="5" spans="2:11" ht="14.25">
      <c r="B5" s="47" t="s">
        <v>346</v>
      </c>
      <c r="C5" s="80" t="str">
        <f>'Major Activity 1'!B3</f>
        <v>Expansion of Successful Poverty Reduction and Women’s Empowerment Model in West Africa Project Number 45498</v>
      </c>
      <c r="D5" s="10"/>
      <c r="E5" s="10"/>
      <c r="F5" s="10"/>
      <c r="G5" s="10"/>
      <c r="H5" s="10"/>
      <c r="I5" s="65"/>
      <c r="J5" s="10"/>
      <c r="K5" s="13"/>
    </row>
    <row r="6" spans="2:11" ht="14.25">
      <c r="B6" s="47" t="s">
        <v>373</v>
      </c>
      <c r="C6" s="79">
        <f>H172</f>
        <v>18999838.709677417</v>
      </c>
      <c r="D6" s="272"/>
      <c r="E6" s="10"/>
      <c r="F6" s="10"/>
      <c r="G6" s="135"/>
      <c r="H6" s="10"/>
      <c r="I6" s="65"/>
      <c r="J6" s="10"/>
      <c r="K6" s="13"/>
    </row>
    <row r="7" spans="2:11" ht="14.25">
      <c r="B7" s="47" t="s">
        <v>347</v>
      </c>
      <c r="C7" s="10"/>
      <c r="D7" s="10"/>
      <c r="E7" s="10"/>
      <c r="F7" s="10"/>
      <c r="G7" s="10"/>
      <c r="H7" s="10"/>
      <c r="I7" s="65"/>
      <c r="J7" s="10"/>
      <c r="K7" s="13"/>
    </row>
    <row r="8" spans="2:11" ht="14.25">
      <c r="B8" s="47" t="s">
        <v>252</v>
      </c>
      <c r="C8" s="65">
        <v>0</v>
      </c>
      <c r="D8" s="10"/>
      <c r="E8" s="10"/>
      <c r="F8" s="10"/>
      <c r="G8" s="10"/>
      <c r="H8" s="10"/>
      <c r="I8" s="65"/>
      <c r="J8" s="10"/>
      <c r="K8" s="13"/>
    </row>
    <row r="9" spans="1:28" s="171" customFormat="1" ht="40.5" customHeight="1">
      <c r="A9" s="190"/>
      <c r="B9" s="30" t="s">
        <v>404</v>
      </c>
      <c r="C9" s="28" t="s">
        <v>405</v>
      </c>
      <c r="D9" s="28" t="s">
        <v>409</v>
      </c>
      <c r="E9" s="28" t="s">
        <v>410</v>
      </c>
      <c r="F9" s="28" t="s">
        <v>436</v>
      </c>
      <c r="G9" s="28" t="s">
        <v>169</v>
      </c>
      <c r="H9" s="28" t="s">
        <v>411</v>
      </c>
      <c r="I9" s="66" t="s">
        <v>400</v>
      </c>
      <c r="J9" s="50" t="s">
        <v>374</v>
      </c>
      <c r="K9" s="31" t="s">
        <v>362</v>
      </c>
      <c r="L9" s="3"/>
      <c r="M9" s="3"/>
      <c r="N9" s="3"/>
      <c r="O9" s="3"/>
      <c r="P9" s="3"/>
      <c r="Q9" s="3"/>
      <c r="R9" s="3"/>
      <c r="S9" s="3"/>
      <c r="T9" s="3"/>
      <c r="U9" s="3"/>
      <c r="V9" s="3"/>
      <c r="W9" s="3"/>
      <c r="X9" s="3"/>
      <c r="Y9" s="3"/>
      <c r="Z9" s="3"/>
      <c r="AA9" s="3"/>
      <c r="AB9" s="3"/>
    </row>
    <row r="10" spans="1:12" s="4" customFormat="1" ht="15.75" customHeight="1">
      <c r="A10" s="277"/>
      <c r="B10" s="229" t="s">
        <v>412</v>
      </c>
      <c r="C10" s="55">
        <f aca="true" t="shared" si="0" ref="C10:H10">SUM(C11:C26)</f>
        <v>579200</v>
      </c>
      <c r="D10" s="55">
        <f t="shared" si="0"/>
        <v>575200</v>
      </c>
      <c r="E10" s="55">
        <f t="shared" si="0"/>
        <v>589600</v>
      </c>
      <c r="F10" s="55">
        <f t="shared" si="0"/>
        <v>475200</v>
      </c>
      <c r="G10" s="55">
        <f t="shared" si="0"/>
        <v>0</v>
      </c>
      <c r="H10" s="55">
        <f t="shared" si="0"/>
        <v>2219200</v>
      </c>
      <c r="I10" s="66">
        <f>H10/H172</f>
        <v>0.11680099151945264</v>
      </c>
      <c r="J10" s="11"/>
      <c r="K10" s="393" t="s">
        <v>221</v>
      </c>
      <c r="L10" s="133"/>
    </row>
    <row r="11" spans="1:11" s="4" customFormat="1" ht="22.5">
      <c r="A11" s="238">
        <v>1</v>
      </c>
      <c r="B11" s="228" t="str">
        <f>'Basic Info'!C25</f>
        <v>Conduct village-level feasibility studies for enterprise formation, including business and financing plans and gender analyzes for each village</v>
      </c>
      <c r="C11" s="56">
        <f>'Major Activity 1'!B7</f>
        <v>7200</v>
      </c>
      <c r="D11" s="56">
        <f>'Major Activity 1'!C7</f>
        <v>19200</v>
      </c>
      <c r="E11" s="56">
        <f>'Major Activity 1'!D7</f>
        <v>33600</v>
      </c>
      <c r="F11" s="56">
        <f>'Major Activity 1'!E7</f>
        <v>19200</v>
      </c>
      <c r="G11" s="56">
        <f>'Major Activity 1'!F7</f>
        <v>0</v>
      </c>
      <c r="H11" s="56">
        <f>'Major Activity 1'!G7</f>
        <v>79200</v>
      </c>
      <c r="I11" s="16"/>
      <c r="J11" s="16"/>
      <c r="K11" s="393"/>
    </row>
    <row r="12" spans="1:11" s="4" customFormat="1" ht="20.25" customHeight="1">
      <c r="A12" s="238">
        <v>2</v>
      </c>
      <c r="B12" s="228" t="str">
        <f>'Basic Info'!C26</f>
        <v>Create the enabling conditions for the MFP-based enterprises by training women’s groups and artisan networks and ensuring gender sensitive training</v>
      </c>
      <c r="C12" s="56">
        <f>'Major Activity 2'!B7</f>
        <v>32000</v>
      </c>
      <c r="D12" s="56">
        <f>'Major Activity 2'!C7</f>
        <v>32000</v>
      </c>
      <c r="E12" s="56">
        <f>'Major Activity 2'!D7</f>
        <v>32000</v>
      </c>
      <c r="F12" s="56">
        <f>'Major Activity 2'!E7</f>
        <v>32000</v>
      </c>
      <c r="G12" s="56">
        <f>'Major Activity 2'!F7</f>
        <v>0</v>
      </c>
      <c r="H12" s="56">
        <f>'Major Activity 2'!G7</f>
        <v>128000</v>
      </c>
      <c r="I12" s="68"/>
      <c r="J12" s="11"/>
      <c r="K12" s="393"/>
    </row>
    <row r="13" spans="1:11" s="4" customFormat="1" ht="22.5">
      <c r="A13" s="238">
        <v>3</v>
      </c>
      <c r="B13" s="228" t="str">
        <f>'Basic Info'!C27</f>
        <v>Install multifunctional platforms including depots for spare parts and equipment for artisans </v>
      </c>
      <c r="C13" s="56">
        <f>'Major Activity 3'!B7</f>
        <v>48000</v>
      </c>
      <c r="D13" s="56">
        <f>'Major Activity 3'!C7</f>
        <v>32000</v>
      </c>
      <c r="E13" s="56">
        <f>'Major Activity 3'!D7</f>
        <v>24000</v>
      </c>
      <c r="F13" s="56">
        <f>'Major Activity 3'!E7</f>
        <v>8000</v>
      </c>
      <c r="G13" s="56">
        <f>'Major Activity 3'!F7</f>
        <v>0</v>
      </c>
      <c r="H13" s="56">
        <f>'Major Activity 3'!G7</f>
        <v>112000</v>
      </c>
      <c r="I13" s="68"/>
      <c r="J13" s="11"/>
      <c r="K13" s="11"/>
    </row>
    <row r="14" spans="1:11" s="4" customFormat="1" ht="22.5">
      <c r="A14" s="238">
        <v>4</v>
      </c>
      <c r="B14" s="228" t="str">
        <f>'Basic Info'!C28</f>
        <v>Conduct village-level monitoring and evaluation, including data gathering for detailed thematic assessments and gender analysis</v>
      </c>
      <c r="C14" s="56">
        <f>'Major Activity 4'!B8</f>
        <v>64000</v>
      </c>
      <c r="D14" s="56">
        <f>'Major Activity 4'!C8</f>
        <v>64000</v>
      </c>
      <c r="E14" s="56">
        <f>'Major Activity 4'!D8</f>
        <v>64000</v>
      </c>
      <c r="F14" s="56">
        <f>'Major Activity 4'!E8</f>
        <v>48000</v>
      </c>
      <c r="G14" s="56">
        <f>'Major Activity 4'!F8</f>
        <v>0</v>
      </c>
      <c r="H14" s="56">
        <f>'Major Activity 4'!G8</f>
        <v>240000</v>
      </c>
      <c r="I14" s="68"/>
      <c r="J14" s="11"/>
      <c r="K14" s="11"/>
    </row>
    <row r="15" spans="1:11" s="4" customFormat="1" ht="33.75">
      <c r="A15" s="238">
        <v>5</v>
      </c>
      <c r="B15" s="228" t="str">
        <f>'Basic Info'!C29</f>
        <v>Strengthen the capacity of national program teams and local partners on all aspects of MFP planning and  implementation, including gender analysis</v>
      </c>
      <c r="C15" s="56">
        <f>'Major Activity 5'!B8</f>
        <v>64000</v>
      </c>
      <c r="D15" s="56">
        <f>'Major Activity 5'!C8</f>
        <v>64000</v>
      </c>
      <c r="E15" s="56">
        <f>'Major Activity 5'!D8</f>
        <v>64000</v>
      </c>
      <c r="F15" s="56">
        <f>'Major Activity 5'!E8</f>
        <v>32000</v>
      </c>
      <c r="G15" s="56">
        <f>'Major Activity 5'!F8</f>
        <v>0</v>
      </c>
      <c r="H15" s="56">
        <f>'Major Activity 5'!G8</f>
        <v>224000</v>
      </c>
      <c r="I15" s="68"/>
      <c r="J15" s="18"/>
      <c r="K15" s="11"/>
    </row>
    <row r="16" spans="1:11" s="4" customFormat="1" ht="33.75">
      <c r="A16" s="238">
        <v>6</v>
      </c>
      <c r="B16" s="228" t="str">
        <f>'Basic Info'!C30</f>
        <v>Expand financing options by supporting national partners in identifying micro-credit institutions and developing partnerships to help extend micro-credit to MFP communities  </v>
      </c>
      <c r="C16" s="56">
        <f>'Major Activity 6'!B8</f>
        <v>24000</v>
      </c>
      <c r="D16" s="56">
        <f>'Major Activity 6'!C8</f>
        <v>24000</v>
      </c>
      <c r="E16" s="56">
        <f>'Major Activity 6'!D8</f>
        <v>24000</v>
      </c>
      <c r="F16" s="56">
        <f>'Major Activity 6'!E8</f>
        <v>0</v>
      </c>
      <c r="G16" s="56">
        <f>'Major Activity 6'!F8</f>
        <v>0</v>
      </c>
      <c r="H16" s="56">
        <f>'Major Activity 6'!G8</f>
        <v>72000</v>
      </c>
      <c r="I16" s="68"/>
      <c r="J16" s="18"/>
      <c r="K16" s="11"/>
    </row>
    <row r="17" spans="1:11" s="4" customFormat="1" ht="25.5" customHeight="1">
      <c r="A17" s="238">
        <v>7</v>
      </c>
      <c r="B17" s="228" t="str">
        <f>'Basic Info'!C31</f>
        <v>Expand technology options for the MFP which could increase and diversify income-generating opportunities along the agricultural value chain</v>
      </c>
      <c r="C17" s="56">
        <f>'Major Activity 7'!B8</f>
        <v>48000</v>
      </c>
      <c r="D17" s="56">
        <f>'Major Activity 7'!C8</f>
        <v>40000</v>
      </c>
      <c r="E17" s="56">
        <f>'Major Activity 7'!D8</f>
        <v>40000</v>
      </c>
      <c r="F17" s="56">
        <f>'Major Activity 7'!E8</f>
        <v>32000</v>
      </c>
      <c r="G17" s="56">
        <f>'Major Activity 7'!F8</f>
        <v>0</v>
      </c>
      <c r="H17" s="56">
        <f>'Major Activity 7'!G8</f>
        <v>160000</v>
      </c>
      <c r="I17" s="68"/>
      <c r="J17" s="18"/>
      <c r="K17" s="11"/>
    </row>
    <row r="18" spans="1:11" s="4" customFormat="1" ht="22.5">
      <c r="A18" s="238">
        <v>8</v>
      </c>
      <c r="B18" s="228" t="str">
        <f>'Basic Info'!C32</f>
        <v>Research and test the potential of using biofuels as a fuel substitute for the MFPs</v>
      </c>
      <c r="C18" s="56">
        <f>'Major Activity 8'!B8</f>
        <v>48000</v>
      </c>
      <c r="D18" s="56">
        <f>'Major Activity 8'!C8</f>
        <v>24000</v>
      </c>
      <c r="E18" s="56">
        <f>'Major Activity 8'!D8</f>
        <v>16000</v>
      </c>
      <c r="F18" s="56">
        <f>'Major Activity 8'!E8</f>
        <v>8000</v>
      </c>
      <c r="G18" s="56">
        <f>'Major Activity 8'!F8</f>
        <v>0</v>
      </c>
      <c r="H18" s="56">
        <f>'Major Activity 8'!G8</f>
        <v>96000</v>
      </c>
      <c r="I18" s="68"/>
      <c r="J18" s="18"/>
      <c r="K18" s="11"/>
    </row>
    <row r="19" spans="1:11" s="4" customFormat="1" ht="45">
      <c r="A19" s="238">
        <v>9</v>
      </c>
      <c r="B19" s="228" t="str">
        <f>'Basic Info'!C33</f>
        <v>Strengthen national policy frameworks, including national poverty reduction strategies and budgets, to support the expansion of MFP-based agro-enterprises and ensure gender dynamics are integrated in national policies</v>
      </c>
      <c r="C19" s="56">
        <f>'Major Activity 9'!B8</f>
        <v>36000</v>
      </c>
      <c r="D19" s="56">
        <f>'Major Activity 9'!C8</f>
        <v>36000</v>
      </c>
      <c r="E19" s="56">
        <f>'Major Activity 9'!D8</f>
        <v>36000</v>
      </c>
      <c r="F19" s="56">
        <f>'Major Activity 9'!E8</f>
        <v>36000</v>
      </c>
      <c r="G19" s="56">
        <f>'Major Activity 9'!F8</f>
        <v>0</v>
      </c>
      <c r="H19" s="56">
        <f>'Major Activity 9'!G8</f>
        <v>144000</v>
      </c>
      <c r="I19" s="68"/>
      <c r="J19" s="18"/>
      <c r="K19" s="11"/>
    </row>
    <row r="20" spans="1:11" s="4" customFormat="1" ht="22.5">
      <c r="A20" s="238">
        <v>10</v>
      </c>
      <c r="B20" s="228" t="str">
        <f>'Basic Info'!C34</f>
        <v>Develop and disseminate national and sub regional communication/advocacy materials</v>
      </c>
      <c r="C20" s="56">
        <f>'Major Activity 10'!B8</f>
        <v>56000</v>
      </c>
      <c r="D20" s="56">
        <f>'Major Activity 10'!C8</f>
        <v>24000</v>
      </c>
      <c r="E20" s="56">
        <f>'Major Activity 10'!D8</f>
        <v>56000</v>
      </c>
      <c r="F20" s="56">
        <f>'Major Activity 10'!E8</f>
        <v>24000</v>
      </c>
      <c r="G20" s="56">
        <f>'Major Activity 10'!F8</f>
        <v>0</v>
      </c>
      <c r="H20" s="56">
        <f>'Major Activity 10'!G8</f>
        <v>160000</v>
      </c>
      <c r="I20" s="68"/>
      <c r="J20" s="18"/>
      <c r="K20" s="11"/>
    </row>
    <row r="21" spans="1:11" s="4" customFormat="1" ht="22.5">
      <c r="A21" s="238">
        <v>11</v>
      </c>
      <c r="B21" s="228" t="str">
        <f>'Basic Info'!C35</f>
        <v>Enhance knowledge codification and sharing to improve the effectiveness of MFP implementation</v>
      </c>
      <c r="C21" s="56">
        <f>'Major Activity 11'!B8</f>
        <v>56000</v>
      </c>
      <c r="D21" s="56">
        <f>'Major Activity 11'!C8</f>
        <v>32000</v>
      </c>
      <c r="E21" s="56">
        <f>'Major Activity 11'!D8</f>
        <v>24000</v>
      </c>
      <c r="F21" s="56">
        <f>'Major Activity 11'!E8</f>
        <v>24000</v>
      </c>
      <c r="G21" s="56">
        <f>'Major Activity 11'!F8</f>
        <v>0</v>
      </c>
      <c r="H21" s="56">
        <f>'Major Activity 11'!G8</f>
        <v>136000</v>
      </c>
      <c r="I21" s="68"/>
      <c r="J21" s="18"/>
      <c r="K21" s="11"/>
    </row>
    <row r="22" spans="1:11" s="4" customFormat="1" ht="45">
      <c r="A22" s="238">
        <v>12</v>
      </c>
      <c r="B22" s="228" t="str">
        <f>'Basic Info'!C36</f>
        <v>Develop and update operational toolkits and user guides, covering 20 different modules, including installing/operating  new technologies, accessing micro-credit, conducting  feasibilities studies, business formulation, M&amp;E, gender, etc</v>
      </c>
      <c r="C22" s="56">
        <f>'Major Activity 12'!B8</f>
        <v>32000</v>
      </c>
      <c r="D22" s="56">
        <f>'Major Activity 12'!C8</f>
        <v>56000</v>
      </c>
      <c r="E22" s="56">
        <f>'Major Activity 12'!D8</f>
        <v>48000</v>
      </c>
      <c r="F22" s="56">
        <f>'Major Activity 12'!E8</f>
        <v>48000</v>
      </c>
      <c r="G22" s="56">
        <f>'Major Activity 12'!F8</f>
        <v>0</v>
      </c>
      <c r="H22" s="56">
        <f>'Major Activity 12'!G8</f>
        <v>184000</v>
      </c>
      <c r="I22" s="68"/>
      <c r="J22" s="18"/>
      <c r="K22" s="11"/>
    </row>
    <row r="23" spans="2:11" s="4" customFormat="1" ht="14.25" hidden="1">
      <c r="B23" s="228" t="e">
        <f>'Basic Info'!#REF!</f>
        <v>#REF!</v>
      </c>
      <c r="C23" s="56">
        <v>0</v>
      </c>
      <c r="D23" s="56">
        <v>0</v>
      </c>
      <c r="E23" s="56">
        <v>0</v>
      </c>
      <c r="F23" s="56">
        <v>0</v>
      </c>
      <c r="G23" s="56">
        <v>0</v>
      </c>
      <c r="H23" s="56">
        <v>0</v>
      </c>
      <c r="I23" s="68"/>
      <c r="J23" s="18"/>
      <c r="K23" s="11"/>
    </row>
    <row r="24" spans="1:11" s="4" customFormat="1" ht="67.5">
      <c r="A24" s="238">
        <v>13</v>
      </c>
      <c r="B24" s="228"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24" s="56">
        <f>'Major Activity 13'!B8</f>
        <v>64000</v>
      </c>
      <c r="D24" s="56">
        <f>'Major Activity 13'!C8</f>
        <v>40000</v>
      </c>
      <c r="E24" s="56">
        <f>'Major Activity 13'!D8</f>
        <v>64000</v>
      </c>
      <c r="F24" s="56">
        <f>'Major Activity 13'!E8</f>
        <v>40000</v>
      </c>
      <c r="G24" s="56">
        <f>'Major Activity 13'!F8</f>
        <v>0</v>
      </c>
      <c r="H24" s="56">
        <f>'Major Activity 13'!G8</f>
        <v>208000</v>
      </c>
      <c r="I24" s="68"/>
      <c r="J24" s="18"/>
      <c r="K24" s="11"/>
    </row>
    <row r="25" spans="1:11" s="4" customFormat="1" ht="33.75">
      <c r="A25" s="238">
        <v>14</v>
      </c>
      <c r="B25" s="228" t="str">
        <f>'Basic Info'!C38</f>
        <v>Develop and launch full-scale national MFP programs and lending proposals for all four countries based on agro-enterprise models that are replicable and scaleable across the sub-region</v>
      </c>
      <c r="C25" s="56">
        <f>'Major Activity 14'!B8</f>
        <v>0</v>
      </c>
      <c r="D25" s="56">
        <f>'Major Activity 14'!C8</f>
        <v>88000</v>
      </c>
      <c r="E25" s="56">
        <f>'Major Activity 14'!D8</f>
        <v>32000</v>
      </c>
      <c r="F25" s="56">
        <f>'Major Activity 14'!E8</f>
        <v>92000</v>
      </c>
      <c r="G25" s="56">
        <f>'Major Activity 14'!F8</f>
        <v>0</v>
      </c>
      <c r="H25" s="56">
        <f>'Major Activity 14'!G8</f>
        <v>212000</v>
      </c>
      <c r="I25" s="68"/>
      <c r="J25" s="18"/>
      <c r="K25" s="11"/>
    </row>
    <row r="26" spans="1:12" s="4" customFormat="1" ht="33.75">
      <c r="A26" s="238">
        <v>15</v>
      </c>
      <c r="B26" s="228" t="str">
        <f>'Basic Info'!C39</f>
        <v>Develop and share with the international development community (e.g. donors, governments, etc) a strategy for how to replicate MFP-based agro-enterprises in ECOWAS and other Sub Saharan countries</v>
      </c>
      <c r="C26" s="56">
        <f>'Major Activity 15'!B8</f>
        <v>0</v>
      </c>
      <c r="D26" s="56">
        <f>'Major Activity 15'!C8</f>
        <v>0</v>
      </c>
      <c r="E26" s="56">
        <f>'Major Activity 15'!D8</f>
        <v>32000</v>
      </c>
      <c r="F26" s="56">
        <f>'Major Activity 15'!E8</f>
        <v>32000</v>
      </c>
      <c r="G26" s="56">
        <f>'Major Activity 15'!F8</f>
        <v>0</v>
      </c>
      <c r="H26" s="56">
        <f>'Major Activity 15'!G8</f>
        <v>64000</v>
      </c>
      <c r="I26" s="68"/>
      <c r="J26" s="18"/>
      <c r="K26" s="11"/>
      <c r="L26" s="136"/>
    </row>
    <row r="27" spans="1:11" s="4" customFormat="1" ht="14.25">
      <c r="A27" s="168"/>
      <c r="B27" s="23"/>
      <c r="C27" s="24"/>
      <c r="D27" s="24"/>
      <c r="E27" s="24"/>
      <c r="F27" s="24"/>
      <c r="G27" s="24"/>
      <c r="H27" s="24"/>
      <c r="I27" s="69"/>
      <c r="J27" s="24"/>
      <c r="K27" s="23"/>
    </row>
    <row r="28" spans="2:11" s="4" customFormat="1" ht="26.25" customHeight="1">
      <c r="B28" s="41" t="s">
        <v>345</v>
      </c>
      <c r="C28" s="55">
        <v>0</v>
      </c>
      <c r="D28" s="55">
        <v>0</v>
      </c>
      <c r="E28" s="55">
        <v>0</v>
      </c>
      <c r="F28" s="55">
        <v>0</v>
      </c>
      <c r="G28" s="55">
        <v>0</v>
      </c>
      <c r="H28" s="55">
        <v>0</v>
      </c>
      <c r="I28" s="66">
        <f>IF(ISERROR(H28/H$172)=TRUE,"-",H28/H$172)</f>
        <v>0</v>
      </c>
      <c r="J28" s="18"/>
      <c r="K28" s="11" t="s">
        <v>222</v>
      </c>
    </row>
    <row r="29" spans="1:11" s="4" customFormat="1" ht="22.5" hidden="1">
      <c r="A29" s="238">
        <v>1</v>
      </c>
      <c r="B29" s="228" t="str">
        <f>'Basic Info'!C25</f>
        <v>Conduct village-level feasibility studies for enterprise formation, including business and financing plans and gender analyzes for each village</v>
      </c>
      <c r="C29" s="56">
        <v>0</v>
      </c>
      <c r="D29" s="56">
        <v>0</v>
      </c>
      <c r="E29" s="56">
        <v>0</v>
      </c>
      <c r="F29" s="56">
        <v>0</v>
      </c>
      <c r="G29" s="56">
        <v>0</v>
      </c>
      <c r="H29" s="56">
        <v>0</v>
      </c>
      <c r="I29" s="68"/>
      <c r="J29" s="18"/>
      <c r="K29" s="11"/>
    </row>
    <row r="30" spans="1:11" s="4" customFormat="1" ht="33.75" hidden="1">
      <c r="A30" s="238">
        <v>2</v>
      </c>
      <c r="B30" s="228" t="str">
        <f>'Basic Info'!C26</f>
        <v>Create the enabling conditions for the MFP-based enterprises by training women’s groups and artisan networks and ensuring gender sensitive training</v>
      </c>
      <c r="C30" s="56">
        <v>0</v>
      </c>
      <c r="D30" s="56">
        <v>0</v>
      </c>
      <c r="E30" s="56">
        <v>0</v>
      </c>
      <c r="F30" s="56">
        <v>0</v>
      </c>
      <c r="G30" s="56">
        <v>0</v>
      </c>
      <c r="H30" s="56">
        <v>0</v>
      </c>
      <c r="I30" s="68"/>
      <c r="J30" s="18"/>
      <c r="K30" s="11"/>
    </row>
    <row r="31" spans="1:11" s="4" customFormat="1" ht="22.5" hidden="1">
      <c r="A31" s="238">
        <v>3</v>
      </c>
      <c r="B31" s="228" t="str">
        <f>'Basic Info'!C27</f>
        <v>Install multifunctional platforms including depots for spare parts and equipment for artisans </v>
      </c>
      <c r="C31" s="56">
        <v>0</v>
      </c>
      <c r="D31" s="56">
        <v>0</v>
      </c>
      <c r="E31" s="56">
        <v>0</v>
      </c>
      <c r="F31" s="56">
        <v>0</v>
      </c>
      <c r="G31" s="56">
        <v>0</v>
      </c>
      <c r="H31" s="56">
        <v>0</v>
      </c>
      <c r="I31" s="68"/>
      <c r="J31" s="18"/>
      <c r="K31" s="11"/>
    </row>
    <row r="32" spans="1:11" s="4" customFormat="1" ht="22.5" hidden="1">
      <c r="A32" s="238">
        <v>4</v>
      </c>
      <c r="B32" s="228" t="str">
        <f>'Basic Info'!C28</f>
        <v>Conduct village-level monitoring and evaluation, including data gathering for detailed thematic assessments and gender analysis</v>
      </c>
      <c r="C32" s="56">
        <v>0</v>
      </c>
      <c r="D32" s="56">
        <v>0</v>
      </c>
      <c r="E32" s="56">
        <v>0</v>
      </c>
      <c r="F32" s="56">
        <v>0</v>
      </c>
      <c r="G32" s="56">
        <v>0</v>
      </c>
      <c r="H32" s="56">
        <v>0</v>
      </c>
      <c r="I32" s="68"/>
      <c r="J32" s="18"/>
      <c r="K32" s="11"/>
    </row>
    <row r="33" spans="1:11" s="4" customFormat="1" ht="33.75" hidden="1">
      <c r="A33" s="238">
        <v>5</v>
      </c>
      <c r="B33" s="228" t="str">
        <f>'Basic Info'!C29</f>
        <v>Strengthen the capacity of national program teams and local partners on all aspects of MFP planning and  implementation, including gender analysis</v>
      </c>
      <c r="C33" s="56">
        <v>0</v>
      </c>
      <c r="D33" s="56">
        <v>0</v>
      </c>
      <c r="E33" s="56">
        <v>0</v>
      </c>
      <c r="F33" s="56">
        <v>0</v>
      </c>
      <c r="G33" s="56">
        <v>0</v>
      </c>
      <c r="H33" s="56">
        <v>0</v>
      </c>
      <c r="I33" s="68"/>
      <c r="J33" s="18"/>
      <c r="K33" s="11"/>
    </row>
    <row r="34" spans="1:11" s="4" customFormat="1" ht="33.75" hidden="1">
      <c r="A34" s="238">
        <v>6</v>
      </c>
      <c r="B34" s="228" t="str">
        <f>'Basic Info'!C30</f>
        <v>Expand financing options by supporting national partners in identifying micro-credit institutions and developing partnerships to help extend micro-credit to MFP communities  </v>
      </c>
      <c r="C34" s="56">
        <v>0</v>
      </c>
      <c r="D34" s="56">
        <v>0</v>
      </c>
      <c r="E34" s="56">
        <v>0</v>
      </c>
      <c r="F34" s="56">
        <v>0</v>
      </c>
      <c r="G34" s="56">
        <v>0</v>
      </c>
      <c r="H34" s="56">
        <v>0</v>
      </c>
      <c r="I34" s="68"/>
      <c r="J34" s="18"/>
      <c r="K34" s="11"/>
    </row>
    <row r="35" spans="1:11" s="4" customFormat="1" ht="33.75" hidden="1">
      <c r="A35" s="238">
        <v>7</v>
      </c>
      <c r="B35" s="228" t="str">
        <f>'Basic Info'!C31</f>
        <v>Expand technology options for the MFP which could increase and diversify income-generating opportunities along the agricultural value chain</v>
      </c>
      <c r="C35" s="56">
        <v>0</v>
      </c>
      <c r="D35" s="56">
        <v>0</v>
      </c>
      <c r="E35" s="56">
        <v>0</v>
      </c>
      <c r="F35" s="56">
        <v>0</v>
      </c>
      <c r="G35" s="56">
        <v>0</v>
      </c>
      <c r="H35" s="56">
        <v>0</v>
      </c>
      <c r="I35" s="68"/>
      <c r="J35" s="18"/>
      <c r="K35" s="11"/>
    </row>
    <row r="36" spans="1:11" s="4" customFormat="1" ht="22.5" hidden="1">
      <c r="A36" s="238">
        <v>8</v>
      </c>
      <c r="B36" s="228" t="str">
        <f>'Basic Info'!C32</f>
        <v>Research and test the potential of using biofuels as a fuel substitute for the MFPs</v>
      </c>
      <c r="C36" s="56">
        <v>0</v>
      </c>
      <c r="D36" s="56">
        <v>0</v>
      </c>
      <c r="E36" s="56">
        <v>0</v>
      </c>
      <c r="F36" s="56">
        <v>0</v>
      </c>
      <c r="G36" s="56">
        <v>0</v>
      </c>
      <c r="H36" s="56">
        <v>0</v>
      </c>
      <c r="I36" s="68"/>
      <c r="J36" s="18"/>
      <c r="K36" s="11"/>
    </row>
    <row r="37" spans="1:11" s="4" customFormat="1" ht="45" hidden="1">
      <c r="A37" s="238">
        <v>9</v>
      </c>
      <c r="B37" s="228" t="str">
        <f>'Basic Info'!C33</f>
        <v>Strengthen national policy frameworks, including national poverty reduction strategies and budgets, to support the expansion of MFP-based agro-enterprises and ensure gender dynamics are integrated in national policies</v>
      </c>
      <c r="C37" s="56">
        <v>0</v>
      </c>
      <c r="D37" s="56">
        <v>0</v>
      </c>
      <c r="E37" s="56">
        <v>0</v>
      </c>
      <c r="F37" s="56">
        <v>0</v>
      </c>
      <c r="G37" s="56">
        <v>0</v>
      </c>
      <c r="H37" s="56">
        <v>0</v>
      </c>
      <c r="I37" s="68"/>
      <c r="J37" s="18"/>
      <c r="K37" s="11"/>
    </row>
    <row r="38" spans="1:11" s="4" customFormat="1" ht="22.5" hidden="1">
      <c r="A38" s="238">
        <v>10</v>
      </c>
      <c r="B38" s="228" t="str">
        <f>'Basic Info'!C34</f>
        <v>Develop and disseminate national and sub regional communication/advocacy materials</v>
      </c>
      <c r="C38" s="56">
        <v>0</v>
      </c>
      <c r="D38" s="56">
        <v>0</v>
      </c>
      <c r="E38" s="56">
        <v>0</v>
      </c>
      <c r="F38" s="56">
        <v>0</v>
      </c>
      <c r="G38" s="56">
        <v>0</v>
      </c>
      <c r="H38" s="56">
        <v>0</v>
      </c>
      <c r="I38" s="68"/>
      <c r="J38" s="18"/>
      <c r="K38" s="11"/>
    </row>
    <row r="39" spans="1:11" s="4" customFormat="1" ht="22.5" hidden="1">
      <c r="A39" s="238">
        <v>11</v>
      </c>
      <c r="B39" s="228" t="str">
        <f>'Basic Info'!C35</f>
        <v>Enhance knowledge codification and sharing to improve the effectiveness of MFP implementation</v>
      </c>
      <c r="C39" s="56">
        <v>0</v>
      </c>
      <c r="D39" s="56">
        <v>0</v>
      </c>
      <c r="E39" s="56">
        <v>0</v>
      </c>
      <c r="F39" s="56">
        <v>0</v>
      </c>
      <c r="G39" s="56">
        <v>0</v>
      </c>
      <c r="H39" s="56">
        <v>0</v>
      </c>
      <c r="I39" s="68"/>
      <c r="J39" s="18"/>
      <c r="K39" s="11"/>
    </row>
    <row r="40" spans="1:11" s="4" customFormat="1" ht="45" hidden="1">
      <c r="A40" s="238">
        <v>12</v>
      </c>
      <c r="B40" s="228" t="str">
        <f>'Basic Info'!C36</f>
        <v>Develop and update operational toolkits and user guides, covering 20 different modules, including installing/operating  new technologies, accessing micro-credit, conducting  feasibilities studies, business formulation, M&amp;E, gender, etc</v>
      </c>
      <c r="C40" s="56">
        <v>0</v>
      </c>
      <c r="D40" s="56">
        <v>0</v>
      </c>
      <c r="E40" s="56">
        <v>0</v>
      </c>
      <c r="F40" s="56">
        <v>0</v>
      </c>
      <c r="G40" s="56">
        <v>0</v>
      </c>
      <c r="H40" s="56">
        <v>0</v>
      </c>
      <c r="I40" s="68"/>
      <c r="J40" s="18"/>
      <c r="K40" s="11"/>
    </row>
    <row r="41" spans="1:11" s="4" customFormat="1" ht="14.25" hidden="1">
      <c r="A41" s="238">
        <v>13</v>
      </c>
      <c r="B41" s="228" t="e">
        <f>'Basic Info'!#REF!</f>
        <v>#REF!</v>
      </c>
      <c r="C41" s="56">
        <v>0</v>
      </c>
      <c r="D41" s="56">
        <v>0</v>
      </c>
      <c r="E41" s="56">
        <v>0</v>
      </c>
      <c r="F41" s="56">
        <v>0</v>
      </c>
      <c r="G41" s="56">
        <v>0</v>
      </c>
      <c r="H41" s="56">
        <v>0</v>
      </c>
      <c r="I41" s="68"/>
      <c r="J41" s="18"/>
      <c r="K41" s="11"/>
    </row>
    <row r="42" spans="1:11" s="4" customFormat="1" ht="67.5" hidden="1">
      <c r="A42" s="238">
        <v>14</v>
      </c>
      <c r="B42" s="228"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42" s="56">
        <v>0</v>
      </c>
      <c r="D42" s="56">
        <v>0</v>
      </c>
      <c r="E42" s="56">
        <v>0</v>
      </c>
      <c r="F42" s="56">
        <v>0</v>
      </c>
      <c r="G42" s="56">
        <v>0</v>
      </c>
      <c r="H42" s="56">
        <v>0</v>
      </c>
      <c r="I42" s="68"/>
      <c r="J42" s="18"/>
      <c r="K42" s="11"/>
    </row>
    <row r="43" spans="1:11" s="4" customFormat="1" ht="33.75" hidden="1">
      <c r="A43" s="238">
        <v>15</v>
      </c>
      <c r="B43" s="228" t="str">
        <f>'Basic Info'!C38</f>
        <v>Develop and launch full-scale national MFP programs and lending proposals for all four countries based on agro-enterprise models that are replicable and scaleable across the sub-region</v>
      </c>
      <c r="C43" s="56">
        <v>0</v>
      </c>
      <c r="D43" s="56">
        <v>0</v>
      </c>
      <c r="E43" s="56">
        <v>0</v>
      </c>
      <c r="F43" s="56">
        <v>0</v>
      </c>
      <c r="G43" s="56">
        <v>0</v>
      </c>
      <c r="H43" s="56">
        <v>0</v>
      </c>
      <c r="I43" s="68"/>
      <c r="J43" s="18"/>
      <c r="K43" s="11"/>
    </row>
    <row r="44" spans="1:11" s="4" customFormat="1" ht="33.75" hidden="1">
      <c r="A44" s="238">
        <v>16</v>
      </c>
      <c r="B44" s="228" t="str">
        <f>'Basic Info'!C39</f>
        <v>Develop and share with the international development community (e.g. donors, governments, etc) a strategy for how to replicate MFP-based agro-enterprises in ECOWAS and other Sub Saharan countries</v>
      </c>
      <c r="C44" s="56">
        <v>0</v>
      </c>
      <c r="D44" s="56">
        <v>0</v>
      </c>
      <c r="E44" s="56">
        <v>0</v>
      </c>
      <c r="F44" s="56">
        <v>0</v>
      </c>
      <c r="G44" s="56">
        <v>0</v>
      </c>
      <c r="H44" s="56">
        <v>0</v>
      </c>
      <c r="I44" s="68"/>
      <c r="J44" s="18"/>
      <c r="K44" s="11"/>
    </row>
    <row r="45" spans="1:11" s="4" customFormat="1" ht="14.25" hidden="1">
      <c r="A45" s="238">
        <v>17</v>
      </c>
      <c r="B45" s="228" t="e">
        <f>'Basic Info'!#REF!</f>
        <v>#REF!</v>
      </c>
      <c r="C45" s="56">
        <v>0</v>
      </c>
      <c r="D45" s="56">
        <v>0</v>
      </c>
      <c r="E45" s="56">
        <v>0</v>
      </c>
      <c r="F45" s="56">
        <v>0</v>
      </c>
      <c r="G45" s="56">
        <v>0</v>
      </c>
      <c r="H45" s="56">
        <v>0</v>
      </c>
      <c r="I45" s="68"/>
      <c r="J45" s="18"/>
      <c r="K45" s="11"/>
    </row>
    <row r="46" spans="1:11" s="4" customFormat="1" ht="14.25" hidden="1">
      <c r="A46" s="238">
        <v>18</v>
      </c>
      <c r="B46" s="228" t="e">
        <f>'Basic Info'!#REF!</f>
        <v>#REF!</v>
      </c>
      <c r="C46" s="56">
        <v>0</v>
      </c>
      <c r="D46" s="56">
        <v>0</v>
      </c>
      <c r="E46" s="56">
        <v>0</v>
      </c>
      <c r="F46" s="56">
        <v>0</v>
      </c>
      <c r="G46" s="56">
        <v>0</v>
      </c>
      <c r="H46" s="56">
        <v>0</v>
      </c>
      <c r="I46" s="68"/>
      <c r="J46" s="18"/>
      <c r="K46" s="11"/>
    </row>
    <row r="47" spans="1:11" s="4" customFormat="1" ht="14.25" hidden="1">
      <c r="A47" s="238">
        <v>19</v>
      </c>
      <c r="B47" s="228" t="e">
        <f>'Basic Info'!#REF!</f>
        <v>#REF!</v>
      </c>
      <c r="C47" s="56">
        <v>0</v>
      </c>
      <c r="D47" s="56">
        <v>0</v>
      </c>
      <c r="E47" s="56">
        <v>0</v>
      </c>
      <c r="F47" s="56">
        <v>0</v>
      </c>
      <c r="G47" s="56">
        <v>0</v>
      </c>
      <c r="H47" s="56">
        <v>0</v>
      </c>
      <c r="I47" s="68"/>
      <c r="J47" s="18"/>
      <c r="K47" s="11"/>
    </row>
    <row r="48" spans="1:11" s="4" customFormat="1" ht="14.25">
      <c r="A48" s="168"/>
      <c r="B48" s="23"/>
      <c r="C48" s="24"/>
      <c r="D48" s="24"/>
      <c r="E48" s="24"/>
      <c r="F48" s="24"/>
      <c r="G48" s="24"/>
      <c r="H48" s="24"/>
      <c r="I48" s="69"/>
      <c r="J48" s="24"/>
      <c r="K48" s="23"/>
    </row>
    <row r="49" spans="2:11" s="4" customFormat="1" ht="14.25">
      <c r="B49" s="41" t="s">
        <v>360</v>
      </c>
      <c r="C49" s="55">
        <f aca="true" t="shared" si="1" ref="C49:H49">SUM(C50:C65)</f>
        <v>556550</v>
      </c>
      <c r="D49" s="55">
        <f t="shared" si="1"/>
        <v>773400</v>
      </c>
      <c r="E49" s="55">
        <f t="shared" si="1"/>
        <v>596950</v>
      </c>
      <c r="F49" s="55">
        <f t="shared" si="1"/>
        <v>580400</v>
      </c>
      <c r="G49" s="55">
        <f t="shared" si="1"/>
        <v>0</v>
      </c>
      <c r="H49" s="55">
        <f t="shared" si="1"/>
        <v>2507300</v>
      </c>
      <c r="I49" s="66">
        <f>H49/H172</f>
        <v>0.13196427813478895</v>
      </c>
      <c r="J49" s="11"/>
      <c r="K49" s="11"/>
    </row>
    <row r="50" spans="1:11" s="4" customFormat="1" ht="22.5">
      <c r="A50" s="238">
        <v>1</v>
      </c>
      <c r="B50" s="228" t="str">
        <f>'Basic Info'!C25</f>
        <v>Conduct village-level feasibility studies for enterprise formation, including business and financing plans and gender analyzes for each village</v>
      </c>
      <c r="C50" s="56">
        <f>'Major Activity 1'!B16</f>
        <v>26550</v>
      </c>
      <c r="D50" s="56">
        <f>'Major Activity 1'!C16</f>
        <v>27900</v>
      </c>
      <c r="E50" s="56">
        <f>'Major Activity 1'!D16</f>
        <v>31950</v>
      </c>
      <c r="F50" s="56">
        <f>'Major Activity 1'!E16</f>
        <v>27900</v>
      </c>
      <c r="G50" s="56">
        <f>'Major Activity 1'!F16</f>
        <v>0</v>
      </c>
      <c r="H50" s="56">
        <f>'Major Activity 1'!G16</f>
        <v>114300</v>
      </c>
      <c r="I50" s="68"/>
      <c r="J50" s="11"/>
      <c r="K50" s="11"/>
    </row>
    <row r="51" spans="1:11" s="4" customFormat="1" ht="33.75">
      <c r="A51" s="238">
        <v>2</v>
      </c>
      <c r="B51" s="228" t="str">
        <f>'Basic Info'!C26</f>
        <v>Create the enabling conditions for the MFP-based enterprises by training women’s groups and artisan networks and ensuring gender sensitive training</v>
      </c>
      <c r="C51" s="56">
        <f>'Major Activity 2'!B12</f>
        <v>30000</v>
      </c>
      <c r="D51" s="56">
        <f>'Major Activity 2'!C12</f>
        <v>30000</v>
      </c>
      <c r="E51" s="56">
        <f>'Major Activity 2'!D12</f>
        <v>30000</v>
      </c>
      <c r="F51" s="56">
        <f>'Major Activity 2'!E12</f>
        <v>30000</v>
      </c>
      <c r="G51" s="56">
        <f>'Major Activity 2'!F12</f>
        <v>0</v>
      </c>
      <c r="H51" s="56">
        <f>'Major Activity 2'!G12</f>
        <v>120000</v>
      </c>
      <c r="I51" s="68"/>
      <c r="J51" s="11"/>
      <c r="K51" s="11"/>
    </row>
    <row r="52" spans="1:11" s="4" customFormat="1" ht="22.5">
      <c r="A52" s="238">
        <v>3</v>
      </c>
      <c r="B52" s="228" t="str">
        <f>'Basic Info'!C27</f>
        <v>Install multifunctional platforms including depots for spare parts and equipment for artisans </v>
      </c>
      <c r="C52" s="56">
        <f>'Major Activity 3'!B14</f>
        <v>22500</v>
      </c>
      <c r="D52" s="56">
        <f>'Major Activity 3'!C14</f>
        <v>45000</v>
      </c>
      <c r="E52" s="56">
        <f>'Major Activity 3'!D14</f>
        <v>52500</v>
      </c>
      <c r="F52" s="56">
        <f>'Major Activity 3'!E14</f>
        <v>30000</v>
      </c>
      <c r="G52" s="56">
        <f>'Major Activity 3'!F14</f>
        <v>0</v>
      </c>
      <c r="H52" s="56">
        <f>'Major Activity 3'!G14</f>
        <v>150000</v>
      </c>
      <c r="I52" s="68"/>
      <c r="J52" s="11"/>
      <c r="K52" s="11"/>
    </row>
    <row r="53" spans="1:11" s="4" customFormat="1" ht="22.5">
      <c r="A53" s="238">
        <v>4</v>
      </c>
      <c r="B53" s="228" t="str">
        <f>'Basic Info'!C28</f>
        <v>Conduct village-level monitoring and evaluation, including data gathering for detailed thematic assessments and gender analysis</v>
      </c>
      <c r="C53" s="56">
        <f>'Major Activity 4'!B13</f>
        <v>96000</v>
      </c>
      <c r="D53" s="56">
        <f>'Major Activity 4'!C13</f>
        <v>170500</v>
      </c>
      <c r="E53" s="56">
        <f>'Major Activity 4'!D13</f>
        <v>130500</v>
      </c>
      <c r="F53" s="56">
        <f>'Major Activity 4'!E13</f>
        <v>123000</v>
      </c>
      <c r="G53" s="56">
        <f>'Major Activity 4'!F13</f>
        <v>0</v>
      </c>
      <c r="H53" s="56">
        <f>'Major Activity 4'!G13</f>
        <v>520000</v>
      </c>
      <c r="I53" s="68"/>
      <c r="J53" s="11"/>
      <c r="K53" s="11"/>
    </row>
    <row r="54" spans="1:11" s="4" customFormat="1" ht="33.75">
      <c r="A54" s="238">
        <v>5</v>
      </c>
      <c r="B54" s="228" t="str">
        <f>'Basic Info'!C29</f>
        <v>Strengthen the capacity of national program teams and local partners on all aspects of MFP planning and  implementation, including gender analysis</v>
      </c>
      <c r="C54" s="56">
        <f>'Major Activity 5'!B16</f>
        <v>100000</v>
      </c>
      <c r="D54" s="56">
        <f>'Major Activity 5'!C16</f>
        <v>160000</v>
      </c>
      <c r="E54" s="56">
        <f>'Major Activity 5'!D16</f>
        <v>65000</v>
      </c>
      <c r="F54" s="56">
        <f>'Major Activity 5'!E16</f>
        <v>0</v>
      </c>
      <c r="G54" s="56">
        <f>'Major Activity 5'!F16</f>
        <v>0</v>
      </c>
      <c r="H54" s="56">
        <f>'Major Activity 5'!G16</f>
        <v>325000</v>
      </c>
      <c r="I54" s="68"/>
      <c r="J54" s="11"/>
      <c r="K54" s="11"/>
    </row>
    <row r="55" spans="1:11" s="4" customFormat="1" ht="33.75">
      <c r="A55" s="238">
        <v>6</v>
      </c>
      <c r="B55" s="228" t="str">
        <f>'Basic Info'!C30</f>
        <v>Expand financing options by supporting national partners in identifying micro-credit institutions and developing partnerships to help extend micro-credit to MFP communities  </v>
      </c>
      <c r="C55" s="56">
        <f>'Major Activity 6'!B15</f>
        <v>95000</v>
      </c>
      <c r="D55" s="56">
        <f>'Major Activity 6'!C15</f>
        <v>17500</v>
      </c>
      <c r="E55" s="56">
        <f>'Major Activity 6'!D15</f>
        <v>60000</v>
      </c>
      <c r="F55" s="56">
        <f>'Major Activity 6'!E15</f>
        <v>0</v>
      </c>
      <c r="G55" s="56">
        <f>'Major Activity 6'!F15</f>
        <v>0</v>
      </c>
      <c r="H55" s="56">
        <f>'Major Activity 6'!G15</f>
        <v>172500</v>
      </c>
      <c r="I55" s="68"/>
      <c r="J55" s="11"/>
      <c r="K55" s="11"/>
    </row>
    <row r="56" spans="1:11" s="4" customFormat="1" ht="33.75">
      <c r="A56" s="238">
        <v>7</v>
      </c>
      <c r="B56" s="228" t="str">
        <f>'Basic Info'!C31</f>
        <v>Expand technology options for the MFP which could increase and diversify income-generating opportunities along the agricultural value chain</v>
      </c>
      <c r="C56" s="56">
        <f>'Major Activity 7'!B13</f>
        <v>17500</v>
      </c>
      <c r="D56" s="56">
        <f>'Major Activity 7'!C13</f>
        <v>62500</v>
      </c>
      <c r="E56" s="56">
        <f>'Major Activity 7'!D13</f>
        <v>0</v>
      </c>
      <c r="F56" s="56">
        <f>'Major Activity 7'!E13</f>
        <v>27500</v>
      </c>
      <c r="G56" s="56">
        <f>'Major Activity 7'!F13</f>
        <v>0</v>
      </c>
      <c r="H56" s="56">
        <f>'Major Activity 7'!G13</f>
        <v>107500</v>
      </c>
      <c r="I56" s="68"/>
      <c r="J56" s="11"/>
      <c r="K56" s="11"/>
    </row>
    <row r="57" spans="1:11" s="4" customFormat="1" ht="22.5">
      <c r="A57" s="238">
        <v>8</v>
      </c>
      <c r="B57" s="228" t="str">
        <f>'Basic Info'!C32</f>
        <v>Research and test the potential of using biofuels as a fuel substitute for the MFPs</v>
      </c>
      <c r="C57" s="56">
        <f>'Major Activity 8'!B14</f>
        <v>0</v>
      </c>
      <c r="D57" s="56">
        <f>'Major Activity 8'!C14</f>
        <v>25000</v>
      </c>
      <c r="E57" s="56">
        <f>'Major Activity 8'!D14</f>
        <v>0</v>
      </c>
      <c r="F57" s="56">
        <f>'Major Activity 8'!E14</f>
        <v>0</v>
      </c>
      <c r="G57" s="56">
        <f>'Major Activity 8'!F14</f>
        <v>0</v>
      </c>
      <c r="H57" s="56">
        <f>'Major Activity 8'!G14</f>
        <v>25000</v>
      </c>
      <c r="I57" s="68"/>
      <c r="J57" s="11"/>
      <c r="K57" s="11"/>
    </row>
    <row r="58" spans="1:11" s="4" customFormat="1" ht="45">
      <c r="A58" s="238">
        <v>9</v>
      </c>
      <c r="B58" s="228" t="str">
        <f>'Basic Info'!C33</f>
        <v>Strengthen national policy frameworks, including national poverty reduction strategies and budgets, to support the expansion of MFP-based agro-enterprises and ensure gender dynamics are integrated in national policies</v>
      </c>
      <c r="C58" s="56">
        <f>'Major Activity 9'!B15</f>
        <v>52500</v>
      </c>
      <c r="D58" s="56">
        <f>'Major Activity 9'!C15</f>
        <v>7500</v>
      </c>
      <c r="E58" s="56">
        <f>'Major Activity 9'!D15</f>
        <v>7500</v>
      </c>
      <c r="F58" s="56">
        <f>'Major Activity 9'!E15</f>
        <v>7500</v>
      </c>
      <c r="G58" s="56">
        <f>'Major Activity 9'!F15</f>
        <v>0</v>
      </c>
      <c r="H58" s="56">
        <f>'Major Activity 9'!G15</f>
        <v>75000</v>
      </c>
      <c r="I58" s="68"/>
      <c r="J58" s="11"/>
      <c r="K58" s="11"/>
    </row>
    <row r="59" spans="1:11" s="4" customFormat="1" ht="22.5">
      <c r="A59" s="238">
        <v>10</v>
      </c>
      <c r="B59" s="228" t="str">
        <f>'Basic Info'!C34</f>
        <v>Develop and disseminate national and sub regional communication/advocacy materials</v>
      </c>
      <c r="C59" s="56">
        <f>'Major Activity 10'!B16</f>
        <v>0</v>
      </c>
      <c r="D59" s="56">
        <f>'Major Activity 10'!C16</f>
        <v>0</v>
      </c>
      <c r="E59" s="56">
        <f>'Major Activity 10'!D16</f>
        <v>0</v>
      </c>
      <c r="F59" s="56">
        <f>'Major Activity 10'!E16</f>
        <v>0</v>
      </c>
      <c r="G59" s="56">
        <f>'Major Activity 10'!F16</f>
        <v>0</v>
      </c>
      <c r="H59" s="56">
        <f>'Major Activity 10'!G16</f>
        <v>0</v>
      </c>
      <c r="I59" s="68"/>
      <c r="J59" s="11"/>
      <c r="K59" s="11"/>
    </row>
    <row r="60" spans="1:11" s="4" customFormat="1" ht="22.5">
      <c r="A60" s="238">
        <v>11</v>
      </c>
      <c r="B60" s="228" t="str">
        <f>'Basic Info'!C35</f>
        <v>Enhance knowledge codification and sharing to improve the effectiveness of MFP implementation</v>
      </c>
      <c r="C60" s="56">
        <f>'Major Activity 11'!B16</f>
        <v>51000</v>
      </c>
      <c r="D60" s="56">
        <f>'Major Activity 11'!C16</f>
        <v>51000</v>
      </c>
      <c r="E60" s="56">
        <f>'Major Activity 11'!D16</f>
        <v>51000</v>
      </c>
      <c r="F60" s="56">
        <f>'Major Activity 11'!E16</f>
        <v>48500</v>
      </c>
      <c r="G60" s="56">
        <f>'Major Activity 11'!F16</f>
        <v>0</v>
      </c>
      <c r="H60" s="56">
        <f>'Major Activity 11'!G16</f>
        <v>201500</v>
      </c>
      <c r="I60" s="68"/>
      <c r="J60" s="11"/>
      <c r="K60" s="11"/>
    </row>
    <row r="61" spans="1:11" s="4" customFormat="1" ht="45">
      <c r="A61" s="238">
        <v>12</v>
      </c>
      <c r="B61" s="228" t="str">
        <f>'Basic Info'!C36</f>
        <v>Develop and update operational toolkits and user guides, covering 20 different modules, including installing/operating  new technologies, accessing micro-credit, conducting  feasibilities studies, business formulation, M&amp;E, gender, etc</v>
      </c>
      <c r="C61" s="56">
        <f>'Major Activity 12'!B17</f>
        <v>0</v>
      </c>
      <c r="D61" s="56">
        <f>'Major Activity 12'!C17</f>
        <v>27000</v>
      </c>
      <c r="E61" s="56">
        <f>'Major Activity 12'!D17</f>
        <v>27000</v>
      </c>
      <c r="F61" s="56">
        <f>'Major Activity 12'!E17</f>
        <v>27000</v>
      </c>
      <c r="G61" s="56">
        <f>'Major Activity 12'!F17</f>
        <v>0</v>
      </c>
      <c r="H61" s="56">
        <f>'Major Activity 12'!G17</f>
        <v>81000</v>
      </c>
      <c r="I61" s="68"/>
      <c r="J61" s="11"/>
      <c r="K61" s="11"/>
    </row>
    <row r="62" spans="2:11" s="4" customFormat="1" ht="14.25" hidden="1">
      <c r="B62" s="228"/>
      <c r="C62" s="56">
        <v>0</v>
      </c>
      <c r="D62" s="56">
        <v>0</v>
      </c>
      <c r="E62" s="56">
        <v>0</v>
      </c>
      <c r="F62" s="56">
        <v>0</v>
      </c>
      <c r="G62" s="56">
        <v>0</v>
      </c>
      <c r="H62" s="56">
        <v>0</v>
      </c>
      <c r="I62" s="68"/>
      <c r="J62" s="11"/>
      <c r="K62" s="11"/>
    </row>
    <row r="63" spans="1:11" s="4" customFormat="1" ht="67.5">
      <c r="A63" s="238">
        <v>13</v>
      </c>
      <c r="B63" s="228"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63" s="56">
        <f>'Major Activity 13'!B17</f>
        <v>25500</v>
      </c>
      <c r="D63" s="56">
        <f>'Major Activity 13'!C17</f>
        <v>67500</v>
      </c>
      <c r="E63" s="56">
        <f>'Major Activity 13'!D17</f>
        <v>79500</v>
      </c>
      <c r="F63" s="56">
        <f>'Major Activity 13'!E17</f>
        <v>57000</v>
      </c>
      <c r="G63" s="56">
        <f>'Major Activity 13'!F17</f>
        <v>0</v>
      </c>
      <c r="H63" s="56">
        <f>'Major Activity 13'!G17</f>
        <v>229500</v>
      </c>
      <c r="I63" s="68"/>
      <c r="J63" s="11"/>
      <c r="K63" s="11"/>
    </row>
    <row r="64" spans="1:11" s="4" customFormat="1" ht="33.75">
      <c r="A64" s="238">
        <v>14</v>
      </c>
      <c r="B64" s="228" t="str">
        <f>'Basic Info'!C38</f>
        <v>Develop and launch full-scale national MFP programs and lending proposals for all four countries based on agro-enterprise models that are replicable and scaleable across the sub-region</v>
      </c>
      <c r="C64" s="56">
        <f>'Major Activity 14'!B17</f>
        <v>40000</v>
      </c>
      <c r="D64" s="56">
        <f>'Major Activity 14'!C17</f>
        <v>82000</v>
      </c>
      <c r="E64" s="56">
        <f>'Major Activity 14'!D17</f>
        <v>32000</v>
      </c>
      <c r="F64" s="56">
        <f>'Major Activity 14'!E17</f>
        <v>82000</v>
      </c>
      <c r="G64" s="56">
        <f>'Major Activity 14'!F17</f>
        <v>0</v>
      </c>
      <c r="H64" s="56">
        <f>'Major Activity 14'!G17</f>
        <v>236000</v>
      </c>
      <c r="I64" s="68"/>
      <c r="J64" s="11"/>
      <c r="K64" s="11"/>
    </row>
    <row r="65" spans="1:11" s="4" customFormat="1" ht="33.75">
      <c r="A65" s="238">
        <v>15</v>
      </c>
      <c r="B65" s="228" t="str">
        <f>'Basic Info'!C39</f>
        <v>Develop and share with the international development community (e.g. donors, governments, etc) a strategy for how to replicate MFP-based agro-enterprises in ECOWAS and other Sub Saharan countries</v>
      </c>
      <c r="C65" s="56">
        <f>'Major Activity 15'!B17</f>
        <v>0</v>
      </c>
      <c r="D65" s="56">
        <f>'Major Activity 15'!C17</f>
        <v>0</v>
      </c>
      <c r="E65" s="56">
        <f>'Major Activity 15'!D17</f>
        <v>30000</v>
      </c>
      <c r="F65" s="56">
        <f>'Major Activity 15'!E17</f>
        <v>120000</v>
      </c>
      <c r="G65" s="56">
        <f>'Major Activity 15'!F17</f>
        <v>0</v>
      </c>
      <c r="H65" s="56">
        <f>'Major Activity 15'!G17</f>
        <v>150000</v>
      </c>
      <c r="I65" s="68"/>
      <c r="J65" s="11"/>
      <c r="K65" s="11"/>
    </row>
    <row r="66" spans="1:11" s="4" customFormat="1" ht="14.25">
      <c r="A66" s="168"/>
      <c r="B66" s="23"/>
      <c r="C66" s="12"/>
      <c r="D66" s="12"/>
      <c r="E66" s="12"/>
      <c r="F66" s="12"/>
      <c r="G66" s="12"/>
      <c r="H66" s="12"/>
      <c r="I66" s="70"/>
      <c r="J66" s="23"/>
      <c r="K66" s="23"/>
    </row>
    <row r="67" spans="2:11" s="4" customFormat="1" ht="14.25">
      <c r="B67" s="41" t="s">
        <v>413</v>
      </c>
      <c r="C67" s="55">
        <f aca="true" t="shared" si="2" ref="C67:H67">SUM(C68:C83)</f>
        <v>874950</v>
      </c>
      <c r="D67" s="55">
        <f t="shared" si="2"/>
        <v>1057300</v>
      </c>
      <c r="E67" s="55">
        <f t="shared" si="2"/>
        <v>824050</v>
      </c>
      <c r="F67" s="55">
        <f t="shared" si="2"/>
        <v>804600</v>
      </c>
      <c r="G67" s="55">
        <f t="shared" si="2"/>
        <v>0</v>
      </c>
      <c r="H67" s="55">
        <f t="shared" si="2"/>
        <v>3560900</v>
      </c>
      <c r="I67" s="66">
        <f>H67/H172</f>
        <v>0.1874173804531448</v>
      </c>
      <c r="J67" s="11"/>
      <c r="K67" s="11"/>
    </row>
    <row r="68" spans="1:11" s="4" customFormat="1" ht="22.5">
      <c r="A68" s="238">
        <v>1</v>
      </c>
      <c r="B68" s="228" t="str">
        <f>'Basic Info'!C25</f>
        <v>Conduct village-level feasibility studies for enterprise formation, including business and financing plans and gender analyzes for each village</v>
      </c>
      <c r="C68" s="56">
        <f>'Major Activity 1'!B23</f>
        <v>51300</v>
      </c>
      <c r="D68" s="56">
        <f>'Major Activity 1'!C23</f>
        <v>59400</v>
      </c>
      <c r="E68" s="56">
        <f>'Major Activity 1'!D23</f>
        <v>56700</v>
      </c>
      <c r="F68" s="56">
        <f>'Major Activity 1'!E23</f>
        <v>32400</v>
      </c>
      <c r="G68" s="56">
        <f>'Major Activity 1'!F23</f>
        <v>0</v>
      </c>
      <c r="H68" s="56">
        <f>'Major Activity 1'!G23</f>
        <v>199800</v>
      </c>
      <c r="I68" s="68"/>
      <c r="J68" s="11"/>
      <c r="K68" s="11"/>
    </row>
    <row r="69" spans="1:11" s="4" customFormat="1" ht="33.75">
      <c r="A69" s="238">
        <v>2</v>
      </c>
      <c r="B69" s="228" t="str">
        <f>'Basic Info'!C26</f>
        <v>Create the enabling conditions for the MFP-based enterprises by training women’s groups and artisan networks and ensuring gender sensitive training</v>
      </c>
      <c r="C69" s="56">
        <f>'Major Activity 2'!B16</f>
        <v>6000</v>
      </c>
      <c r="D69" s="56">
        <f>'Major Activity 2'!C16</f>
        <v>6000</v>
      </c>
      <c r="E69" s="56">
        <f>'Major Activity 2'!D16</f>
        <v>6000</v>
      </c>
      <c r="F69" s="56">
        <f>'Major Activity 2'!E16</f>
        <v>6000</v>
      </c>
      <c r="G69" s="56">
        <f>'Major Activity 2'!F16</f>
        <v>0</v>
      </c>
      <c r="H69" s="56">
        <f>'Major Activity 2'!G16</f>
        <v>24000</v>
      </c>
      <c r="I69" s="68"/>
      <c r="J69" s="11"/>
      <c r="K69" s="11"/>
    </row>
    <row r="70" spans="1:11" s="4" customFormat="1" ht="22.5">
      <c r="A70" s="238">
        <v>3</v>
      </c>
      <c r="B70" s="228" t="str">
        <f>'Basic Info'!C27</f>
        <v>Install multifunctional platforms including depots for spare parts and equipment for artisans </v>
      </c>
      <c r="C70" s="56">
        <f>'Major Activity 3'!B20</f>
        <v>40500</v>
      </c>
      <c r="D70" s="56">
        <f>'Major Activity 3'!C20</f>
        <v>81000</v>
      </c>
      <c r="E70" s="56">
        <f>'Major Activity 3'!D20</f>
        <v>94499.99999999999</v>
      </c>
      <c r="F70" s="56">
        <f>'Major Activity 3'!E20</f>
        <v>54000</v>
      </c>
      <c r="G70" s="56">
        <f>'Major Activity 3'!F20</f>
        <v>0</v>
      </c>
      <c r="H70" s="56">
        <f>'Major Activity 3'!G20</f>
        <v>270000</v>
      </c>
      <c r="I70" s="68"/>
      <c r="J70" s="11"/>
      <c r="K70" s="11"/>
    </row>
    <row r="71" spans="1:11" s="4" customFormat="1" ht="22.5">
      <c r="A71" s="238">
        <v>4</v>
      </c>
      <c r="B71" s="228" t="str">
        <f>'Basic Info'!C28</f>
        <v>Conduct village-level monitoring and evaluation, including data gathering for detailed thematic assessments and gender analysis</v>
      </c>
      <c r="C71" s="56">
        <f>'Major Activity 4'!B24</f>
        <v>112150</v>
      </c>
      <c r="D71" s="56">
        <f>'Major Activity 4'!C24</f>
        <v>236900</v>
      </c>
      <c r="E71" s="56">
        <f>'Major Activity 4'!D24</f>
        <v>226350</v>
      </c>
      <c r="F71" s="56">
        <f>'Major Activity 4'!E24</f>
        <v>218700</v>
      </c>
      <c r="G71" s="56">
        <f>'Major Activity 4'!F24</f>
        <v>0</v>
      </c>
      <c r="H71" s="56">
        <f>'Major Activity 4'!G24</f>
        <v>794100</v>
      </c>
      <c r="I71" s="68"/>
      <c r="J71" s="11"/>
      <c r="K71" s="11"/>
    </row>
    <row r="72" spans="1:11" s="4" customFormat="1" ht="33.75">
      <c r="A72" s="238">
        <v>5</v>
      </c>
      <c r="B72" s="228" t="str">
        <f>'Basic Info'!C29</f>
        <v>Strengthen the capacity of national program teams and local partners on all aspects of MFP planning and  implementation, including gender analysis</v>
      </c>
      <c r="C72" s="56">
        <f>'Major Activity 5'!B22</f>
        <v>125000</v>
      </c>
      <c r="D72" s="56">
        <f>'Major Activity 5'!C22</f>
        <v>92000</v>
      </c>
      <c r="E72" s="56">
        <f>'Major Activity 5'!D22</f>
        <v>41500</v>
      </c>
      <c r="F72" s="56">
        <f>'Major Activity 5'!E22</f>
        <v>0</v>
      </c>
      <c r="G72" s="56">
        <f>'Major Activity 5'!F22</f>
        <v>0</v>
      </c>
      <c r="H72" s="56">
        <f>'Major Activity 5'!G22</f>
        <v>258500</v>
      </c>
      <c r="I72" s="68"/>
      <c r="J72" s="11"/>
      <c r="K72" s="11"/>
    </row>
    <row r="73" spans="1:11" s="4" customFormat="1" ht="33.75">
      <c r="A73" s="238">
        <v>6</v>
      </c>
      <c r="B73" s="228" t="str">
        <f>'Basic Info'!C30</f>
        <v>Expand financing options by supporting national partners in identifying micro-credit institutions and developing partnerships to help extend micro-credit to MFP communities  </v>
      </c>
      <c r="C73" s="56">
        <f>'Major Activity 6'!B20</f>
        <v>21000</v>
      </c>
      <c r="D73" s="56">
        <f>'Major Activity 6'!C20</f>
        <v>3000</v>
      </c>
      <c r="E73" s="56">
        <f>'Major Activity 6'!D20</f>
        <v>15000</v>
      </c>
      <c r="F73" s="56">
        <f>'Major Activity 6'!E20</f>
        <v>0</v>
      </c>
      <c r="G73" s="56">
        <f>'Major Activity 6'!F20</f>
        <v>0</v>
      </c>
      <c r="H73" s="56">
        <f>'Major Activity 6'!G20</f>
        <v>39000</v>
      </c>
      <c r="I73" s="68"/>
      <c r="J73" s="11"/>
      <c r="K73" s="11"/>
    </row>
    <row r="74" spans="1:11" s="4" customFormat="1" ht="33.75">
      <c r="A74" s="238">
        <v>7</v>
      </c>
      <c r="B74" s="228" t="str">
        <f>'Basic Info'!C31</f>
        <v>Expand technology options for the MFP which could increase and diversify income-generating opportunities along the agricultural value chain</v>
      </c>
      <c r="C74" s="56">
        <f>'Major Activity 7'!B18</f>
        <v>28500</v>
      </c>
      <c r="D74" s="56">
        <f>'Major Activity 7'!C18</f>
        <v>21000</v>
      </c>
      <c r="E74" s="56">
        <f>'Major Activity 7'!D18</f>
        <v>9000</v>
      </c>
      <c r="F74" s="56">
        <f>'Major Activity 7'!E18</f>
        <v>9000</v>
      </c>
      <c r="G74" s="56">
        <f>'Major Activity 7'!F18</f>
        <v>0</v>
      </c>
      <c r="H74" s="56">
        <f>'Major Activity 7'!G18</f>
        <v>67500</v>
      </c>
      <c r="I74" s="68"/>
      <c r="J74" s="11"/>
      <c r="K74" s="11"/>
    </row>
    <row r="75" spans="1:11" s="4" customFormat="1" ht="22.5">
      <c r="A75" s="238">
        <v>8</v>
      </c>
      <c r="B75" s="228" t="str">
        <f>'Basic Info'!C32</f>
        <v>Research and test the potential of using biofuels as a fuel substitute for the MFPs</v>
      </c>
      <c r="C75" s="56">
        <f>'Major Activity 8'!B17</f>
        <v>0</v>
      </c>
      <c r="D75" s="56">
        <f>'Major Activity 8'!C17</f>
        <v>12000</v>
      </c>
      <c r="E75" s="56">
        <f>'Major Activity 8'!D17</f>
        <v>12000</v>
      </c>
      <c r="F75" s="56">
        <f>'Major Activity 8'!E17</f>
        <v>12000</v>
      </c>
      <c r="G75" s="56">
        <f>'Major Activity 8'!F17</f>
        <v>0</v>
      </c>
      <c r="H75" s="56">
        <f>'Major Activity 8'!G17</f>
        <v>36000</v>
      </c>
      <c r="I75" s="68"/>
      <c r="J75" s="11"/>
      <c r="K75" s="11"/>
    </row>
    <row r="76" spans="1:11" s="4" customFormat="1" ht="45">
      <c r="A76" s="238">
        <v>9</v>
      </c>
      <c r="B76" s="228" t="str">
        <f>'Basic Info'!C33</f>
        <v>Strengthen national policy frameworks, including national poverty reduction strategies and budgets, to support the expansion of MFP-based agro-enterprises and ensure gender dynamics are integrated in national policies</v>
      </c>
      <c r="C76" s="56">
        <f>'Major Activity 9'!B21</f>
        <v>103500</v>
      </c>
      <c r="D76" s="56">
        <f>'Major Activity 9'!C21</f>
        <v>39000</v>
      </c>
      <c r="E76" s="56">
        <f>'Major Activity 9'!D21</f>
        <v>24000</v>
      </c>
      <c r="F76" s="56">
        <f>'Major Activity 9'!E21</f>
        <v>121500</v>
      </c>
      <c r="G76" s="56">
        <f>'Major Activity 9'!F21</f>
        <v>0</v>
      </c>
      <c r="H76" s="56">
        <f>'Major Activity 9'!G21</f>
        <v>288000</v>
      </c>
      <c r="I76" s="68"/>
      <c r="J76" s="11"/>
      <c r="K76" s="11"/>
    </row>
    <row r="77" spans="1:11" s="4" customFormat="1" ht="22.5">
      <c r="A77" s="238">
        <v>10</v>
      </c>
      <c r="B77" s="228" t="str">
        <f>'Basic Info'!C34</f>
        <v>Develop and disseminate national and sub regional communication/advocacy materials</v>
      </c>
      <c r="C77" s="56">
        <f>'Major Activity 10'!B21</f>
        <v>27000</v>
      </c>
      <c r="D77" s="56">
        <f>'Major Activity 10'!C21</f>
        <v>27000</v>
      </c>
      <c r="E77" s="56">
        <f>'Major Activity 10'!D21</f>
        <v>27000</v>
      </c>
      <c r="F77" s="56">
        <f>'Major Activity 10'!E21</f>
        <v>0</v>
      </c>
      <c r="G77" s="56">
        <f>'Major Activity 10'!F21</f>
        <v>0</v>
      </c>
      <c r="H77" s="56">
        <f>'Major Activity 10'!G21</f>
        <v>81000</v>
      </c>
      <c r="I77" s="68"/>
      <c r="J77" s="11"/>
      <c r="K77" s="11"/>
    </row>
    <row r="78" spans="1:11" s="4" customFormat="1" ht="22.5">
      <c r="A78" s="238">
        <v>11</v>
      </c>
      <c r="B78" s="228" t="str">
        <f>'Basic Info'!C35</f>
        <v>Enhance knowledge codification and sharing to improve the effectiveness of MFP implementation</v>
      </c>
      <c r="C78" s="56">
        <f>'Major Activity 11'!B22</f>
        <v>0</v>
      </c>
      <c r="D78" s="56">
        <f>'Major Activity 11'!C22</f>
        <v>0</v>
      </c>
      <c r="E78" s="56">
        <f>'Major Activity 11'!D22</f>
        <v>0</v>
      </c>
      <c r="F78" s="56">
        <f>'Major Activity 11'!E22</f>
        <v>0</v>
      </c>
      <c r="G78" s="56">
        <f>'Major Activity 11'!F22</f>
        <v>0</v>
      </c>
      <c r="H78" s="56">
        <f>'Major Activity 11'!G22</f>
        <v>0</v>
      </c>
      <c r="I78" s="68"/>
      <c r="J78" s="11"/>
      <c r="K78" s="11"/>
    </row>
    <row r="79" spans="1:11" s="4" customFormat="1" ht="45">
      <c r="A79" s="238">
        <v>12</v>
      </c>
      <c r="B79" s="228" t="str">
        <f>'Basic Info'!C36</f>
        <v>Develop and update operational toolkits and user guides, covering 20 different modules, including installing/operating  new technologies, accessing micro-credit, conducting  feasibilities studies, business formulation, M&amp;E, gender, etc</v>
      </c>
      <c r="C79" s="56">
        <f>'Major Activity 12'!B24</f>
        <v>27000</v>
      </c>
      <c r="D79" s="56">
        <f>'Major Activity 12'!C24</f>
        <v>57000</v>
      </c>
      <c r="E79" s="56">
        <f>'Major Activity 12'!D24</f>
        <v>42000</v>
      </c>
      <c r="F79" s="56">
        <f>'Major Activity 12'!E24</f>
        <v>27000</v>
      </c>
      <c r="G79" s="56">
        <f>'Major Activity 12'!F24</f>
        <v>0</v>
      </c>
      <c r="H79" s="56">
        <f>'Major Activity 12'!G24</f>
        <v>153000</v>
      </c>
      <c r="I79" s="68"/>
      <c r="J79" s="11"/>
      <c r="K79" s="11"/>
    </row>
    <row r="80" spans="2:11" s="4" customFormat="1" ht="14.25" hidden="1">
      <c r="B80" s="228" t="e">
        <f>'Basic Info'!#REF!</f>
        <v>#REF!</v>
      </c>
      <c r="C80" s="56">
        <v>0</v>
      </c>
      <c r="D80" s="56">
        <v>0</v>
      </c>
      <c r="E80" s="56">
        <v>0</v>
      </c>
      <c r="F80" s="56">
        <v>0</v>
      </c>
      <c r="G80" s="56">
        <v>0</v>
      </c>
      <c r="H80" s="56">
        <v>0</v>
      </c>
      <c r="I80" s="68"/>
      <c r="J80" s="11"/>
      <c r="K80" s="11"/>
    </row>
    <row r="81" spans="1:11" s="4" customFormat="1" ht="67.5">
      <c r="A81" s="238">
        <v>13</v>
      </c>
      <c r="B81" s="228"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81" s="56">
        <f>'Major Activity 13'!B25</f>
        <v>333000</v>
      </c>
      <c r="D81" s="56">
        <f>'Major Activity 13'!C25</f>
        <v>267000</v>
      </c>
      <c r="E81" s="56">
        <f>'Major Activity 13'!D25</f>
        <v>219000</v>
      </c>
      <c r="F81" s="56">
        <f>'Major Activity 13'!E25</f>
        <v>213000</v>
      </c>
      <c r="G81" s="56">
        <f>'Major Activity 13'!F25</f>
        <v>0</v>
      </c>
      <c r="H81" s="56">
        <f>'Major Activity 13'!G25</f>
        <v>1032000</v>
      </c>
      <c r="I81" s="68"/>
      <c r="J81" s="11"/>
      <c r="K81" s="11"/>
    </row>
    <row r="82" spans="1:11" s="4" customFormat="1" ht="33.75">
      <c r="A82" s="238">
        <v>14</v>
      </c>
      <c r="B82" s="228" t="str">
        <f>'Basic Info'!C38</f>
        <v>Develop and launch full-scale national MFP programs and lending proposals for all four countries based on agro-enterprise models that are replicable and scaleable across the sub-region</v>
      </c>
      <c r="C82" s="56">
        <f>'Major Activity 14'!B23</f>
        <v>0</v>
      </c>
      <c r="D82" s="56">
        <f>'Major Activity 14'!C23</f>
        <v>156000</v>
      </c>
      <c r="E82" s="56">
        <f>'Major Activity 14'!D23</f>
        <v>36000</v>
      </c>
      <c r="F82" s="56">
        <f>'Major Activity 14'!E23</f>
        <v>96000</v>
      </c>
      <c r="G82" s="56">
        <f>'Major Activity 14'!F23</f>
        <v>0</v>
      </c>
      <c r="H82" s="56">
        <f>'Major Activity 14'!G23</f>
        <v>288000</v>
      </c>
      <c r="I82" s="68"/>
      <c r="J82" s="11"/>
      <c r="K82" s="11"/>
    </row>
    <row r="83" spans="1:11" s="4" customFormat="1" ht="33.75">
      <c r="A83" s="238">
        <v>15</v>
      </c>
      <c r="B83" s="228" t="str">
        <f>'Basic Info'!C39</f>
        <v>Develop and share with the international development community (e.g. donors, governments, etc) a strategy for how to replicate MFP-based agro-enterprises in ECOWAS and other Sub Saharan countries</v>
      </c>
      <c r="C83" s="56">
        <f>'Major Activity 15'!B24</f>
        <v>0</v>
      </c>
      <c r="D83" s="56">
        <f>'Major Activity 15'!C24</f>
        <v>0</v>
      </c>
      <c r="E83" s="56">
        <f>'Major Activity 15'!D24</f>
        <v>15000</v>
      </c>
      <c r="F83" s="56">
        <f>'Major Activity 15'!E24</f>
        <v>15000</v>
      </c>
      <c r="G83" s="56">
        <f>'Major Activity 15'!F24</f>
        <v>0</v>
      </c>
      <c r="H83" s="56">
        <f>'Major Activity 15'!G24</f>
        <v>30000</v>
      </c>
      <c r="I83" s="68"/>
      <c r="J83" s="11"/>
      <c r="K83" s="11"/>
    </row>
    <row r="84" spans="1:11" s="4" customFormat="1" ht="14.25">
      <c r="A84" s="168"/>
      <c r="B84" s="23"/>
      <c r="C84" s="12"/>
      <c r="D84" s="12"/>
      <c r="E84" s="12"/>
      <c r="F84" s="12"/>
      <c r="G84" s="12"/>
      <c r="H84" s="12"/>
      <c r="I84" s="70"/>
      <c r="J84" s="23"/>
      <c r="K84" s="23"/>
    </row>
    <row r="85" spans="2:11" s="4" customFormat="1" ht="14.25">
      <c r="B85" s="41"/>
      <c r="C85" s="42"/>
      <c r="D85" s="42"/>
      <c r="E85" s="42"/>
      <c r="F85" s="42"/>
      <c r="G85" s="42"/>
      <c r="H85" s="42"/>
      <c r="I85" s="67"/>
      <c r="J85" s="11"/>
      <c r="K85" s="11"/>
    </row>
    <row r="86" spans="2:11" s="4" customFormat="1" ht="14.25">
      <c r="B86" s="41" t="s">
        <v>356</v>
      </c>
      <c r="C86" s="55">
        <f aca="true" t="shared" si="3" ref="C86:H86">SUM(C87:C102)</f>
        <v>90000</v>
      </c>
      <c r="D86" s="55">
        <f t="shared" si="3"/>
        <v>135000</v>
      </c>
      <c r="E86" s="55">
        <f t="shared" si="3"/>
        <v>60000</v>
      </c>
      <c r="F86" s="55">
        <f t="shared" si="3"/>
        <v>65000</v>
      </c>
      <c r="G86" s="55">
        <f t="shared" si="3"/>
        <v>0</v>
      </c>
      <c r="H86" s="55">
        <f t="shared" si="3"/>
        <v>350000</v>
      </c>
      <c r="I86" s="66">
        <f>H86/H172</f>
        <v>0.01842120900856544</v>
      </c>
      <c r="J86" s="11"/>
      <c r="K86" s="11"/>
    </row>
    <row r="87" spans="1:11" s="4" customFormat="1" ht="22.5">
      <c r="A87" s="238">
        <v>1</v>
      </c>
      <c r="B87" s="228" t="str">
        <f>'Basic Info'!C25</f>
        <v>Conduct village-level feasibility studies for enterprise formation, including business and financing plans and gender analyzes for each village</v>
      </c>
      <c r="C87" s="56">
        <f>'Major Activity 1'!B29</f>
        <v>0</v>
      </c>
      <c r="D87" s="56">
        <f>'Major Activity 1'!C29</f>
        <v>0</v>
      </c>
      <c r="E87" s="56">
        <f>'Major Activity 1'!D29</f>
        <v>0</v>
      </c>
      <c r="F87" s="56">
        <f>'Major Activity 1'!E29</f>
        <v>0</v>
      </c>
      <c r="G87" s="56">
        <f>'Major Activity 1'!F29</f>
        <v>0</v>
      </c>
      <c r="H87" s="56">
        <f>'Major Activity 1'!G29</f>
        <v>0</v>
      </c>
      <c r="I87" s="68"/>
      <c r="J87" s="11"/>
      <c r="K87" s="11"/>
    </row>
    <row r="88" spans="1:11" s="4" customFormat="1" ht="33.75">
      <c r="A88" s="238">
        <v>2</v>
      </c>
      <c r="B88" s="228" t="str">
        <f>'Basic Info'!C26</f>
        <v>Create the enabling conditions for the MFP-based enterprises by training women’s groups and artisan networks and ensuring gender sensitive training</v>
      </c>
      <c r="C88" s="56">
        <f>'Major Activity 2'!B20</f>
        <v>15000</v>
      </c>
      <c r="D88" s="56">
        <f>'Major Activity 2'!C20</f>
        <v>15000</v>
      </c>
      <c r="E88" s="56">
        <f>'Major Activity 2'!D20</f>
        <v>15000</v>
      </c>
      <c r="F88" s="56">
        <f>'Major Activity 2'!E20</f>
        <v>15000</v>
      </c>
      <c r="G88" s="56">
        <f>'Major Activity 2'!F20</f>
        <v>0</v>
      </c>
      <c r="H88" s="56">
        <f>'Major Activity 2'!G20</f>
        <v>60000</v>
      </c>
      <c r="I88" s="68"/>
      <c r="J88" s="11"/>
      <c r="K88" s="11"/>
    </row>
    <row r="89" spans="1:11" s="4" customFormat="1" ht="22.5">
      <c r="A89" s="238">
        <v>3</v>
      </c>
      <c r="B89" s="228" t="str">
        <f>'Basic Info'!C27</f>
        <v>Install multifunctional platforms including depots for spare parts and equipment for artisans </v>
      </c>
      <c r="C89" s="56">
        <f>'Major Activity 3'!B25</f>
        <v>0</v>
      </c>
      <c r="D89" s="56">
        <f>'Major Activity 3'!C25</f>
        <v>0</v>
      </c>
      <c r="E89" s="56">
        <f>'Major Activity 3'!D25</f>
        <v>0</v>
      </c>
      <c r="F89" s="56">
        <f>'Major Activity 3'!E25</f>
        <v>0</v>
      </c>
      <c r="G89" s="56">
        <f>'Major Activity 3'!F25</f>
        <v>0</v>
      </c>
      <c r="H89" s="56">
        <f>'Major Activity 3'!G25</f>
        <v>0</v>
      </c>
      <c r="I89" s="68"/>
      <c r="J89" s="11"/>
      <c r="K89" s="11"/>
    </row>
    <row r="90" spans="1:11" s="4" customFormat="1" ht="22.5">
      <c r="A90" s="238">
        <v>4</v>
      </c>
      <c r="B90" s="228" t="str">
        <f>'Basic Info'!C28</f>
        <v>Conduct village-level monitoring and evaluation, including data gathering for detailed thematic assessments and gender analysis</v>
      </c>
      <c r="C90" s="56">
        <f>'Major Activity 4'!B34</f>
        <v>0</v>
      </c>
      <c r="D90" s="56">
        <f>'Major Activity 4'!C34</f>
        <v>10000</v>
      </c>
      <c r="E90" s="56">
        <f>'Major Activity 4'!D34</f>
        <v>0</v>
      </c>
      <c r="F90" s="56">
        <f>'Major Activity 4'!E34</f>
        <v>0</v>
      </c>
      <c r="G90" s="56">
        <f>'Major Activity 4'!F34</f>
        <v>0</v>
      </c>
      <c r="H90" s="56">
        <f>'Major Activity 4'!G34</f>
        <v>10000</v>
      </c>
      <c r="I90" s="68"/>
      <c r="J90" s="11"/>
      <c r="K90" s="11"/>
    </row>
    <row r="91" spans="1:11" s="4" customFormat="1" ht="33.75">
      <c r="A91" s="238">
        <v>5</v>
      </c>
      <c r="B91" s="228" t="str">
        <f>'Basic Info'!C29</f>
        <v>Strengthen the capacity of national program teams and local partners on all aspects of MFP planning and  implementation, including gender analysis</v>
      </c>
      <c r="C91" s="56">
        <f>'Major Activity 5'!B28</f>
        <v>25000</v>
      </c>
      <c r="D91" s="56">
        <f>'Major Activity 5'!C28</f>
        <v>40000</v>
      </c>
      <c r="E91" s="56">
        <f>'Major Activity 5'!D28</f>
        <v>20000</v>
      </c>
      <c r="F91" s="56">
        <f>'Major Activity 5'!E28</f>
        <v>0</v>
      </c>
      <c r="G91" s="56">
        <f>'Major Activity 5'!F28</f>
        <v>0</v>
      </c>
      <c r="H91" s="56">
        <f>'Major Activity 5'!G28</f>
        <v>85000</v>
      </c>
      <c r="I91" s="68"/>
      <c r="J91" s="18"/>
      <c r="K91" s="11"/>
    </row>
    <row r="92" spans="1:11" s="4" customFormat="1" ht="33.75">
      <c r="A92" s="238">
        <v>6</v>
      </c>
      <c r="B92" s="228" t="str">
        <f>'Basic Info'!C30</f>
        <v>Expand financing options by supporting national partners in identifying micro-credit institutions and developing partnerships to help extend micro-credit to MFP communities  </v>
      </c>
      <c r="C92" s="134">
        <f>'Major Activity 6'!B23</f>
        <v>20000</v>
      </c>
      <c r="D92" s="134">
        <f>'Major Activity 6'!C23</f>
        <v>5000</v>
      </c>
      <c r="E92" s="134">
        <f>'Major Activity 6'!D23</f>
        <v>10000</v>
      </c>
      <c r="F92" s="134">
        <f>'Major Activity 6'!E23</f>
        <v>0</v>
      </c>
      <c r="G92" s="134">
        <f>'Major Activity 6'!F23</f>
        <v>0</v>
      </c>
      <c r="H92" s="134">
        <f>'Major Activity 6'!G23</f>
        <v>35000</v>
      </c>
      <c r="I92" s="68"/>
      <c r="J92" s="18"/>
      <c r="K92" s="11"/>
    </row>
    <row r="93" spans="1:11" s="4" customFormat="1" ht="33.75">
      <c r="A93" s="238">
        <v>7</v>
      </c>
      <c r="B93" s="228" t="str">
        <f>'Basic Info'!C31</f>
        <v>Expand technology options for the MFP which could increase and diversify income-generating opportunities along the agricultural value chain</v>
      </c>
      <c r="C93" s="134">
        <f>'Major Activity 7'!B23</f>
        <v>5000</v>
      </c>
      <c r="D93" s="134">
        <f>'Major Activity 7'!C23</f>
        <v>20000</v>
      </c>
      <c r="E93" s="134">
        <f>'Major Activity 7'!D23</f>
        <v>0</v>
      </c>
      <c r="F93" s="134">
        <f>'Major Activity 7'!E23</f>
        <v>10000</v>
      </c>
      <c r="G93" s="134">
        <f>'Major Activity 7'!F23</f>
        <v>0</v>
      </c>
      <c r="H93" s="134">
        <f>'Major Activity 7'!G23</f>
        <v>35000</v>
      </c>
      <c r="I93" s="68"/>
      <c r="J93" s="18"/>
      <c r="K93" s="11"/>
    </row>
    <row r="94" spans="1:11" s="4" customFormat="1" ht="22.5">
      <c r="A94" s="238">
        <v>8</v>
      </c>
      <c r="B94" s="228" t="str">
        <f>'Basic Info'!C32</f>
        <v>Research and test the potential of using biofuels as a fuel substitute for the MFPs</v>
      </c>
      <c r="C94" s="134">
        <f>'Major Activity 8'!B21</f>
        <v>0</v>
      </c>
      <c r="D94" s="134">
        <f>'Major Activity 8'!C21</f>
        <v>10000</v>
      </c>
      <c r="E94" s="134">
        <f>'Major Activity 8'!D21</f>
        <v>0</v>
      </c>
      <c r="F94" s="134">
        <f>'Major Activity 8'!E21</f>
        <v>0</v>
      </c>
      <c r="G94" s="134">
        <f>'Major Activity 8'!F21</f>
        <v>0</v>
      </c>
      <c r="H94" s="134">
        <f>'Major Activity 8'!G21</f>
        <v>10000</v>
      </c>
      <c r="I94" s="68"/>
      <c r="J94" s="18"/>
      <c r="K94" s="11"/>
    </row>
    <row r="95" spans="1:11" s="4" customFormat="1" ht="45">
      <c r="A95" s="238">
        <v>9</v>
      </c>
      <c r="B95" s="228" t="str">
        <f>'Basic Info'!C33</f>
        <v>Strengthen national policy frameworks, including national poverty reduction strategies and budgets, to support the expansion of MFP-based agro-enterprises and ensure gender dynamics are integrated in national policies</v>
      </c>
      <c r="C95" s="134">
        <f>'Major Activity 9'!B29</f>
        <v>15000</v>
      </c>
      <c r="D95" s="134">
        <f>'Major Activity 9'!C29</f>
        <v>15000</v>
      </c>
      <c r="E95" s="134">
        <f>'Major Activity 9'!D29</f>
        <v>0</v>
      </c>
      <c r="F95" s="134">
        <f>'Major Activity 9'!E29</f>
        <v>15000</v>
      </c>
      <c r="G95" s="134">
        <f>'Major Activity 9'!F29</f>
        <v>0</v>
      </c>
      <c r="H95" s="134">
        <f>'Major Activity 9'!G29</f>
        <v>45000</v>
      </c>
      <c r="I95" s="68"/>
      <c r="J95" s="18"/>
      <c r="K95" s="11"/>
    </row>
    <row r="96" spans="1:11" s="4" customFormat="1" ht="22.5">
      <c r="A96" s="238">
        <v>10</v>
      </c>
      <c r="B96" s="228" t="str">
        <f>'Basic Info'!C34</f>
        <v>Develop and disseminate national and sub regional communication/advocacy materials</v>
      </c>
      <c r="C96" s="134">
        <f>'Major Activity 10'!B25</f>
        <v>0</v>
      </c>
      <c r="D96" s="134">
        <f>'Major Activity 10'!C25</f>
        <v>0</v>
      </c>
      <c r="E96" s="134">
        <f>'Major Activity 10'!D25</f>
        <v>0</v>
      </c>
      <c r="F96" s="134">
        <f>'Major Activity 10'!E25</f>
        <v>0</v>
      </c>
      <c r="G96" s="134">
        <f>'Major Activity 10'!F25</f>
        <v>0</v>
      </c>
      <c r="H96" s="134">
        <f>'Major Activity 10'!G25</f>
        <v>0</v>
      </c>
      <c r="I96" s="68"/>
      <c r="J96" s="18"/>
      <c r="K96" s="11"/>
    </row>
    <row r="97" spans="1:11" s="4" customFormat="1" ht="22.5">
      <c r="A97" s="238">
        <v>11</v>
      </c>
      <c r="B97" s="228" t="str">
        <f>'Basic Info'!C35</f>
        <v>Enhance knowledge codification and sharing to improve the effectiveness of MFP implementation</v>
      </c>
      <c r="C97" s="134">
        <f>'Major Activity 11'!B27</f>
        <v>10000</v>
      </c>
      <c r="D97" s="134">
        <f>'Major Activity 11'!C27</f>
        <v>10000</v>
      </c>
      <c r="E97" s="134">
        <f>'Major Activity 11'!D27</f>
        <v>10000</v>
      </c>
      <c r="F97" s="134">
        <f>'Major Activity 11'!E27</f>
        <v>10000</v>
      </c>
      <c r="G97" s="134">
        <f>'Major Activity 11'!F27</f>
        <v>0</v>
      </c>
      <c r="H97" s="134">
        <f>'Major Activity 11'!G27</f>
        <v>40000</v>
      </c>
      <c r="I97" s="68"/>
      <c r="J97" s="18"/>
      <c r="K97" s="11"/>
    </row>
    <row r="98" spans="1:11" s="4" customFormat="1" ht="45">
      <c r="A98" s="238">
        <v>12</v>
      </c>
      <c r="B98" s="228" t="str">
        <f>'Basic Info'!C36</f>
        <v>Develop and update operational toolkits and user guides, covering 20 different modules, including installing/operating  new technologies, accessing micro-credit, conducting  feasibilities studies, business formulation, M&amp;E, gender, etc</v>
      </c>
      <c r="C98" s="134">
        <f>'Major Activity 12'!B29</f>
        <v>0</v>
      </c>
      <c r="D98" s="134">
        <f>'Major Activity 12'!C29</f>
        <v>0</v>
      </c>
      <c r="E98" s="134">
        <f>'Major Activity 12'!D29</f>
        <v>0</v>
      </c>
      <c r="F98" s="134">
        <f>'Major Activity 12'!E29</f>
        <v>0</v>
      </c>
      <c r="G98" s="134">
        <f>'Major Activity 12'!F29</f>
        <v>0</v>
      </c>
      <c r="H98" s="134">
        <f>'Major Activity 12'!G29</f>
        <v>0</v>
      </c>
      <c r="I98" s="68"/>
      <c r="J98" s="18"/>
      <c r="K98" s="11"/>
    </row>
    <row r="99" spans="2:11" s="4" customFormat="1" ht="14.25" hidden="1">
      <c r="B99" s="228" t="e">
        <f>'Basic Info'!#REF!</f>
        <v>#REF!</v>
      </c>
      <c r="C99" s="56">
        <v>0</v>
      </c>
      <c r="D99" s="56">
        <v>0</v>
      </c>
      <c r="E99" s="56">
        <v>0</v>
      </c>
      <c r="F99" s="56">
        <v>0</v>
      </c>
      <c r="G99" s="56">
        <v>0</v>
      </c>
      <c r="H99" s="56">
        <v>0</v>
      </c>
      <c r="I99" s="68"/>
      <c r="J99" s="18"/>
      <c r="K99" s="11"/>
    </row>
    <row r="100" spans="1:11" s="4" customFormat="1" ht="67.5">
      <c r="A100" s="238">
        <v>13</v>
      </c>
      <c r="B100" s="228"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100" s="134">
        <f>'Major Activity 13'!B34</f>
        <v>0</v>
      </c>
      <c r="D100" s="134">
        <f>'Major Activity 13'!C34</f>
        <v>0</v>
      </c>
      <c r="E100" s="134">
        <f>'Major Activity 13'!D34</f>
        <v>0</v>
      </c>
      <c r="F100" s="134">
        <f>'Major Activity 13'!E34</f>
        <v>0</v>
      </c>
      <c r="G100" s="134">
        <f>'Major Activity 13'!F34</f>
        <v>0</v>
      </c>
      <c r="H100" s="134">
        <f>'Major Activity 13'!G34</f>
        <v>0</v>
      </c>
      <c r="I100" s="68"/>
      <c r="J100" s="18"/>
      <c r="K100" s="11"/>
    </row>
    <row r="101" spans="1:11" s="4" customFormat="1" ht="33.75">
      <c r="A101" s="238">
        <v>14</v>
      </c>
      <c r="B101" s="228" t="str">
        <f>'Basic Info'!C38</f>
        <v>Develop and launch full-scale national MFP programs and lending proposals for all four countries based on agro-enterprise models that are replicable and scaleable across the sub-region</v>
      </c>
      <c r="C101" s="134">
        <f>'Major Activity 14'!B27</f>
        <v>0</v>
      </c>
      <c r="D101" s="134">
        <f>'Major Activity 14'!C27</f>
        <v>10000</v>
      </c>
      <c r="E101" s="134">
        <f>'Major Activity 14'!D27</f>
        <v>5000</v>
      </c>
      <c r="F101" s="134">
        <f>'Major Activity 14'!E27</f>
        <v>5000</v>
      </c>
      <c r="G101" s="134">
        <f>'Major Activity 14'!F27</f>
        <v>0</v>
      </c>
      <c r="H101" s="134">
        <f>'Major Activity 14'!G27</f>
        <v>20000</v>
      </c>
      <c r="I101" s="68"/>
      <c r="J101" s="18"/>
      <c r="K101" s="11"/>
    </row>
    <row r="102" spans="1:11" s="4" customFormat="1" ht="33.75">
      <c r="A102" s="238">
        <v>15</v>
      </c>
      <c r="B102" s="228" t="str">
        <f>'Basic Info'!C39</f>
        <v>Develop and share with the international development community (e.g. donors, governments, etc) a strategy for how to replicate MFP-based agro-enterprises in ECOWAS and other Sub Saharan countries</v>
      </c>
      <c r="C102" s="134">
        <f>'Major Activity 15'!B29</f>
        <v>0</v>
      </c>
      <c r="D102" s="134">
        <f>'Major Activity 15'!C29</f>
        <v>0</v>
      </c>
      <c r="E102" s="134">
        <f>'Major Activity 15'!D29</f>
        <v>0</v>
      </c>
      <c r="F102" s="134">
        <f>'Major Activity 15'!E29</f>
        <v>10000</v>
      </c>
      <c r="G102" s="134">
        <f>'Major Activity 15'!F29</f>
        <v>0</v>
      </c>
      <c r="H102" s="134">
        <f>'Major Activity 15'!G29</f>
        <v>10000</v>
      </c>
      <c r="I102" s="68"/>
      <c r="J102" s="18"/>
      <c r="K102" s="11"/>
    </row>
    <row r="103" spans="2:11" s="4" customFormat="1" ht="14.25">
      <c r="B103" s="19"/>
      <c r="C103" s="56"/>
      <c r="D103" s="56"/>
      <c r="E103" s="56"/>
      <c r="F103" s="56"/>
      <c r="G103" s="56"/>
      <c r="H103" s="56"/>
      <c r="I103" s="68"/>
      <c r="J103" s="11"/>
      <c r="K103" s="11"/>
    </row>
    <row r="104" spans="2:11" s="4" customFormat="1" ht="14.25">
      <c r="B104" s="11"/>
      <c r="C104" s="16"/>
      <c r="D104" s="16"/>
      <c r="E104" s="16"/>
      <c r="F104" s="16"/>
      <c r="G104" s="16"/>
      <c r="H104" s="16"/>
      <c r="I104" s="71"/>
      <c r="J104" s="11"/>
      <c r="K104" s="11"/>
    </row>
    <row r="105" spans="2:11" s="84" customFormat="1" ht="14.25">
      <c r="B105" s="46" t="s">
        <v>365</v>
      </c>
      <c r="C105" s="57">
        <f aca="true" t="shared" si="4" ref="C105:H105">C86+C67+C49+C28+C10</f>
        <v>2100700</v>
      </c>
      <c r="D105" s="57">
        <f t="shared" si="4"/>
        <v>2540900</v>
      </c>
      <c r="E105" s="57">
        <f t="shared" si="4"/>
        <v>2070600</v>
      </c>
      <c r="F105" s="57">
        <f t="shared" si="4"/>
        <v>1925200</v>
      </c>
      <c r="G105" s="57">
        <f t="shared" si="4"/>
        <v>0</v>
      </c>
      <c r="H105" s="57">
        <f t="shared" si="4"/>
        <v>8637400</v>
      </c>
      <c r="I105" s="72"/>
      <c r="J105" s="43"/>
      <c r="K105" s="19"/>
    </row>
    <row r="106" spans="2:11" s="84" customFormat="1" ht="14.25">
      <c r="B106" s="46" t="s">
        <v>377</v>
      </c>
      <c r="C106" s="57">
        <v>0</v>
      </c>
      <c r="D106" s="57">
        <v>0</v>
      </c>
      <c r="E106" s="57">
        <v>0</v>
      </c>
      <c r="F106" s="57">
        <v>0</v>
      </c>
      <c r="G106" s="57">
        <v>0</v>
      </c>
      <c r="H106" s="57">
        <v>0</v>
      </c>
      <c r="I106" s="83">
        <f>IF(ISERROR(H106/H$172)=TRUE,"-",H106/H$172)</f>
        <v>0</v>
      </c>
      <c r="J106" s="43"/>
      <c r="K106" s="19"/>
    </row>
    <row r="107" spans="2:11" s="84" customFormat="1" ht="14.25">
      <c r="B107" s="46" t="s">
        <v>366</v>
      </c>
      <c r="C107" s="58">
        <f aca="true" t="shared" si="5" ref="C107:H107">SUM(C105:C106)</f>
        <v>2100700</v>
      </c>
      <c r="D107" s="58">
        <f t="shared" si="5"/>
        <v>2540900</v>
      </c>
      <c r="E107" s="58">
        <f t="shared" si="5"/>
        <v>2070600</v>
      </c>
      <c r="F107" s="58">
        <f t="shared" si="5"/>
        <v>1925200</v>
      </c>
      <c r="G107" s="58">
        <f t="shared" si="5"/>
        <v>0</v>
      </c>
      <c r="H107" s="58">
        <f t="shared" si="5"/>
        <v>8637400</v>
      </c>
      <c r="I107" s="72"/>
      <c r="J107" s="43"/>
      <c r="K107" s="19"/>
    </row>
    <row r="108" spans="1:11" s="4" customFormat="1" ht="14.25">
      <c r="A108" s="168"/>
      <c r="B108" s="23"/>
      <c r="C108" s="24"/>
      <c r="D108" s="24"/>
      <c r="E108" s="24"/>
      <c r="F108" s="24"/>
      <c r="G108" s="24"/>
      <c r="H108" s="24"/>
      <c r="I108" s="69"/>
      <c r="J108" s="44"/>
      <c r="K108" s="34"/>
    </row>
    <row r="109" spans="2:11" s="4" customFormat="1" ht="45" customHeight="1">
      <c r="B109" s="41" t="s">
        <v>414</v>
      </c>
      <c r="C109" s="55">
        <f aca="true" t="shared" si="6" ref="C109:H109">SUM(C110:C125)</f>
        <v>1181975</v>
      </c>
      <c r="D109" s="55">
        <f t="shared" si="6"/>
        <v>1268400</v>
      </c>
      <c r="E109" s="55">
        <f t="shared" si="6"/>
        <v>1406075</v>
      </c>
      <c r="F109" s="55">
        <f t="shared" si="6"/>
        <v>1039850</v>
      </c>
      <c r="G109" s="55">
        <f t="shared" si="6"/>
        <v>0</v>
      </c>
      <c r="H109" s="55">
        <f t="shared" si="6"/>
        <v>4896300</v>
      </c>
      <c r="I109" s="66">
        <f>H109/H172</f>
        <v>0.2577021876246828</v>
      </c>
      <c r="J109" s="19"/>
      <c r="K109" s="394" t="s">
        <v>163</v>
      </c>
    </row>
    <row r="110" spans="1:11" s="4" customFormat="1" ht="22.5">
      <c r="A110" s="238">
        <v>1</v>
      </c>
      <c r="B110" s="228" t="str">
        <f>'Basic Info'!C25</f>
        <v>Conduct village-level feasibility studies for enterprise formation, including business and financing plans and gender analyzes for each village</v>
      </c>
      <c r="C110" s="56">
        <f>'Major Activity 1'!B32</f>
        <v>145575</v>
      </c>
      <c r="D110" s="56">
        <f>'Major Activity 1'!C32</f>
        <v>291150</v>
      </c>
      <c r="E110" s="56">
        <f>'Major Activity 1'!D32</f>
        <v>339675</v>
      </c>
      <c r="F110" s="56">
        <f>'Major Activity 1'!E32</f>
        <v>194100</v>
      </c>
      <c r="G110" s="56">
        <f>'Major Activity 1'!F32</f>
        <v>0</v>
      </c>
      <c r="H110" s="56">
        <f>'Major Activity 1'!G32</f>
        <v>970500</v>
      </c>
      <c r="I110" s="68"/>
      <c r="J110" s="19"/>
      <c r="K110" s="395"/>
    </row>
    <row r="111" spans="1:11" s="4" customFormat="1" ht="33.75">
      <c r="A111" s="238">
        <v>2</v>
      </c>
      <c r="B111" s="228" t="str">
        <f>'Basic Info'!C26</f>
        <v>Create the enabling conditions for the MFP-based enterprises by training women’s groups and artisan networks and ensuring gender sensitive training</v>
      </c>
      <c r="C111" s="56">
        <f>'Major Activity 2'!B24</f>
        <v>485000</v>
      </c>
      <c r="D111" s="56">
        <f>'Major Activity 2'!C24</f>
        <v>387000</v>
      </c>
      <c r="E111" s="56">
        <f>'Major Activity 2'!D24</f>
        <v>451500</v>
      </c>
      <c r="F111" s="56">
        <f>'Major Activity 2'!E24</f>
        <v>258000</v>
      </c>
      <c r="G111" s="56">
        <f>'Major Activity 2'!F24</f>
        <v>0</v>
      </c>
      <c r="H111" s="56">
        <f>'Major Activity 2'!G24</f>
        <v>1581500</v>
      </c>
      <c r="I111" s="68"/>
      <c r="J111" s="19"/>
      <c r="K111" s="395"/>
    </row>
    <row r="112" spans="1:11" s="4" customFormat="1" ht="22.5">
      <c r="A112" s="238">
        <v>3</v>
      </c>
      <c r="B112" s="228" t="str">
        <f>'Basic Info'!C27</f>
        <v>Install multifunctional platforms including depots for spare parts and equipment for artisans </v>
      </c>
      <c r="C112" s="56">
        <f>'Major Activity 3'!B29</f>
        <v>0</v>
      </c>
      <c r="D112" s="56">
        <f>'Major Activity 3'!C29</f>
        <v>0</v>
      </c>
      <c r="E112" s="56">
        <f>'Major Activity 3'!D29</f>
        <v>0</v>
      </c>
      <c r="F112" s="56">
        <f>'Major Activity 3'!E29</f>
        <v>0</v>
      </c>
      <c r="G112" s="56">
        <f>'Major Activity 3'!F29</f>
        <v>0</v>
      </c>
      <c r="H112" s="56">
        <f>'Major Activity 3'!G29</f>
        <v>0</v>
      </c>
      <c r="I112" s="68"/>
      <c r="J112" s="19"/>
      <c r="K112" s="19"/>
    </row>
    <row r="113" spans="1:11" s="4" customFormat="1" ht="22.5">
      <c r="A113" s="238">
        <v>4</v>
      </c>
      <c r="B113" s="228" t="str">
        <f>'Basic Info'!C28</f>
        <v>Conduct village-level monitoring and evaluation, including data gathering for detailed thematic assessments and gender analysis</v>
      </c>
      <c r="C113" s="56">
        <f>'Major Activity 4'!B38</f>
        <v>165000</v>
      </c>
      <c r="D113" s="56">
        <f>'Major Activity 4'!C38</f>
        <v>303000</v>
      </c>
      <c r="E113" s="56">
        <f>'Major Activity 4'!D38</f>
        <v>318000</v>
      </c>
      <c r="F113" s="56">
        <f>'Major Activity 4'!E38</f>
        <v>318000</v>
      </c>
      <c r="G113" s="56">
        <f>'Major Activity 4'!F38</f>
        <v>0</v>
      </c>
      <c r="H113" s="56">
        <f>'Major Activity 4'!G38</f>
        <v>1104000</v>
      </c>
      <c r="I113" s="68"/>
      <c r="J113" s="19"/>
      <c r="K113" s="19"/>
    </row>
    <row r="114" spans="1:11" s="4" customFormat="1" ht="33.75">
      <c r="A114" s="238">
        <v>5</v>
      </c>
      <c r="B114" s="228" t="str">
        <f>'Basic Info'!C29</f>
        <v>Strengthen the capacity of national program teams and local partners on all aspects of MFP planning and  implementation, including gender analysis</v>
      </c>
      <c r="C114" s="56">
        <f>'Major Activity 5'!B33</f>
        <v>0</v>
      </c>
      <c r="D114" s="56">
        <f>'Major Activity 5'!C33</f>
        <v>0</v>
      </c>
      <c r="E114" s="56">
        <f>'Major Activity 5'!D33</f>
        <v>0</v>
      </c>
      <c r="F114" s="56">
        <f>'Major Activity 5'!E33</f>
        <v>0</v>
      </c>
      <c r="G114" s="56">
        <f>'Major Activity 5'!F33</f>
        <v>0</v>
      </c>
      <c r="H114" s="56">
        <f>'Major Activity 5'!G33</f>
        <v>0</v>
      </c>
      <c r="I114" s="68"/>
      <c r="J114" s="19"/>
      <c r="K114" s="19"/>
    </row>
    <row r="115" spans="1:11" s="4" customFormat="1" ht="33.75">
      <c r="A115" s="238">
        <v>6</v>
      </c>
      <c r="B115" s="228" t="str">
        <f>'Basic Info'!C30</f>
        <v>Expand financing options by supporting national partners in identifying micro-credit institutions and developing partnerships to help extend micro-credit to MFP communities  </v>
      </c>
      <c r="C115" s="56">
        <f>'Major Activity 6'!B27</f>
        <v>0</v>
      </c>
      <c r="D115" s="56">
        <f>'Major Activity 6'!C27</f>
        <v>0</v>
      </c>
      <c r="E115" s="56">
        <f>'Major Activity 6'!D27</f>
        <v>0</v>
      </c>
      <c r="F115" s="56">
        <f>'Major Activity 6'!E27</f>
        <v>0</v>
      </c>
      <c r="G115" s="56">
        <f>'Major Activity 6'!F27</f>
        <v>0</v>
      </c>
      <c r="H115" s="56">
        <f>'Major Activity 6'!G27</f>
        <v>0</v>
      </c>
      <c r="I115" s="68"/>
      <c r="J115" s="19"/>
      <c r="K115" s="19"/>
    </row>
    <row r="116" spans="1:11" s="4" customFormat="1" ht="33.75">
      <c r="A116" s="238">
        <v>7</v>
      </c>
      <c r="B116" s="228" t="str">
        <f>'Basic Info'!C31</f>
        <v>Expand technology options for the MFP which could increase and diversify income-generating opportunities along the agricultural value chain</v>
      </c>
      <c r="C116" s="56">
        <f>'Major Activity 7'!B27</f>
        <v>50000</v>
      </c>
      <c r="D116" s="56">
        <f>'Major Activity 7'!C27</f>
        <v>100000</v>
      </c>
      <c r="E116" s="56">
        <f>'Major Activity 7'!D27</f>
        <v>40000</v>
      </c>
      <c r="F116" s="56">
        <f>'Major Activity 7'!E27</f>
        <v>20000</v>
      </c>
      <c r="G116" s="56">
        <f>'Major Activity 7'!F27</f>
        <v>0</v>
      </c>
      <c r="H116" s="56">
        <f>'Major Activity 7'!G27</f>
        <v>210000</v>
      </c>
      <c r="I116" s="68"/>
      <c r="J116" s="19"/>
      <c r="K116" s="19"/>
    </row>
    <row r="117" spans="1:11" s="4" customFormat="1" ht="22.5">
      <c r="A117" s="238">
        <v>8</v>
      </c>
      <c r="B117" s="228" t="str">
        <f>'Basic Info'!C32</f>
        <v>Research and test the potential of using biofuels as a fuel substitute for the MFPs</v>
      </c>
      <c r="C117" s="56">
        <f>'Major Activity 8'!B25</f>
        <v>30000</v>
      </c>
      <c r="D117" s="56">
        <f>'Major Activity 8'!C25</f>
        <v>30000</v>
      </c>
      <c r="E117" s="56">
        <f>'Major Activity 8'!D25</f>
        <v>0</v>
      </c>
      <c r="F117" s="56">
        <f>'Major Activity 8'!E25</f>
        <v>0</v>
      </c>
      <c r="G117" s="56">
        <f>'Major Activity 8'!F25</f>
        <v>0</v>
      </c>
      <c r="H117" s="56">
        <f>'Major Activity 8'!G25</f>
        <v>60000</v>
      </c>
      <c r="I117" s="68"/>
      <c r="J117" s="19"/>
      <c r="K117" s="19"/>
    </row>
    <row r="118" spans="1:11" s="4" customFormat="1" ht="45">
      <c r="A118" s="238">
        <v>9</v>
      </c>
      <c r="B118" s="228" t="str">
        <f>'Basic Info'!C33</f>
        <v>Strengthen national policy frameworks, including national poverty reduction strategies and budgets, to support the expansion of MFP-based agro-enterprises and ensure gender dynamics are integrated in national policies</v>
      </c>
      <c r="C118" s="56">
        <f>'Major Activity 9'!B34</f>
        <v>31500</v>
      </c>
      <c r="D118" s="56">
        <f>'Major Activity 9'!C34</f>
        <v>5250</v>
      </c>
      <c r="E118" s="56">
        <f>'Major Activity 9'!D34</f>
        <v>0</v>
      </c>
      <c r="F118" s="56">
        <f>'Major Activity 9'!E34</f>
        <v>5250</v>
      </c>
      <c r="G118" s="56">
        <f>'Major Activity 9'!F34</f>
        <v>0</v>
      </c>
      <c r="H118" s="56">
        <f>'Major Activity 9'!G34</f>
        <v>42000</v>
      </c>
      <c r="I118" s="68"/>
      <c r="J118" s="19"/>
      <c r="K118" s="19"/>
    </row>
    <row r="119" spans="1:11" s="4" customFormat="1" ht="22.5">
      <c r="A119" s="238">
        <v>10</v>
      </c>
      <c r="B119" s="228" t="str">
        <f>'Basic Info'!C34</f>
        <v>Develop and disseminate national and sub regional communication/advocacy materials</v>
      </c>
      <c r="C119" s="56">
        <f>'Major Activity 10'!B27</f>
        <v>87400</v>
      </c>
      <c r="D119" s="56">
        <f>'Major Activity 10'!C27</f>
        <v>0</v>
      </c>
      <c r="E119" s="56">
        <f>'Major Activity 10'!D27</f>
        <v>87400</v>
      </c>
      <c r="F119" s="56">
        <f>'Major Activity 10'!E27</f>
        <v>0</v>
      </c>
      <c r="G119" s="56">
        <f>'Major Activity 10'!F27</f>
        <v>0</v>
      </c>
      <c r="H119" s="56">
        <f>'Major Activity 10'!G27</f>
        <v>174800</v>
      </c>
      <c r="I119" s="68"/>
      <c r="J119" s="19"/>
      <c r="K119" s="19"/>
    </row>
    <row r="120" spans="1:11" s="4" customFormat="1" ht="22.5">
      <c r="A120" s="238">
        <v>11</v>
      </c>
      <c r="B120" s="228" t="str">
        <f>'Basic Info'!C35</f>
        <v>Enhance knowledge codification and sharing to improve the effectiveness of MFP implementation</v>
      </c>
      <c r="C120" s="56">
        <f>'Major Activity 11'!B32</f>
        <v>52000</v>
      </c>
      <c r="D120" s="56">
        <f>'Major Activity 11'!C32</f>
        <v>52000</v>
      </c>
      <c r="E120" s="56">
        <f>'Major Activity 11'!D32</f>
        <v>52000</v>
      </c>
      <c r="F120" s="56">
        <f>'Major Activity 11'!E32</f>
        <v>52000</v>
      </c>
      <c r="G120" s="56">
        <f>'Major Activity 11'!F32</f>
        <v>0</v>
      </c>
      <c r="H120" s="56">
        <f>'Major Activity 11'!G32</f>
        <v>208000</v>
      </c>
      <c r="I120" s="68"/>
      <c r="J120" s="19"/>
      <c r="K120" s="19"/>
    </row>
    <row r="121" spans="1:11" s="4" customFormat="1" ht="45">
      <c r="A121" s="238">
        <v>12</v>
      </c>
      <c r="B121" s="228" t="str">
        <f>'Basic Info'!C36</f>
        <v>Develop and update operational toolkits and user guides, covering 20 different modules, including installing/operating  new technologies, accessing micro-credit, conducting  feasibilities studies, business formulation, M&amp;E, gender, etc</v>
      </c>
      <c r="C121" s="56">
        <f>'Major Activity 12'!B32</f>
        <v>25500</v>
      </c>
      <c r="D121" s="56">
        <f>'Major Activity 12'!C32</f>
        <v>60000</v>
      </c>
      <c r="E121" s="56">
        <f>'Major Activity 12'!D32</f>
        <v>60000</v>
      </c>
      <c r="F121" s="56">
        <f>'Major Activity 12'!E32</f>
        <v>60000</v>
      </c>
      <c r="G121" s="56">
        <f>'Major Activity 12'!F32</f>
        <v>0</v>
      </c>
      <c r="H121" s="56">
        <f>'Major Activity 12'!G32</f>
        <v>205500</v>
      </c>
      <c r="I121" s="68"/>
      <c r="J121" s="19"/>
      <c r="K121" s="19"/>
    </row>
    <row r="122" spans="2:11" s="4" customFormat="1" ht="14.25" hidden="1">
      <c r="B122" s="228" t="e">
        <f>'Basic Info'!#REF!</f>
        <v>#REF!</v>
      </c>
      <c r="C122" s="56">
        <v>0</v>
      </c>
      <c r="D122" s="56">
        <v>0</v>
      </c>
      <c r="E122" s="56">
        <v>0</v>
      </c>
      <c r="F122" s="56">
        <v>0</v>
      </c>
      <c r="G122" s="56">
        <v>0</v>
      </c>
      <c r="H122" s="56">
        <v>0</v>
      </c>
      <c r="I122" s="68"/>
      <c r="J122" s="19"/>
      <c r="K122" s="19"/>
    </row>
    <row r="123" spans="1:11" s="4" customFormat="1" ht="67.5">
      <c r="A123" s="238">
        <v>13</v>
      </c>
      <c r="B123" s="228"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123" s="56">
        <f>'Major Activity 13'!B37</f>
        <v>110000</v>
      </c>
      <c r="D123" s="56">
        <f>'Major Activity 13'!C37</f>
        <v>40000</v>
      </c>
      <c r="E123" s="56">
        <f>'Major Activity 13'!D37</f>
        <v>20000</v>
      </c>
      <c r="F123" s="56">
        <f>'Major Activity 13'!E37</f>
        <v>40000</v>
      </c>
      <c r="G123" s="56">
        <f>'Major Activity 13'!F37</f>
        <v>0</v>
      </c>
      <c r="H123" s="56">
        <f>'Major Activity 13'!G37</f>
        <v>210000</v>
      </c>
      <c r="I123" s="68"/>
      <c r="J123" s="19"/>
      <c r="K123" s="19"/>
    </row>
    <row r="124" spans="1:11" s="4" customFormat="1" ht="33.75">
      <c r="A124" s="238">
        <v>14</v>
      </c>
      <c r="B124" s="228" t="str">
        <f>'Basic Info'!C38</f>
        <v>Develop and launch full-scale national MFP programs and lending proposals for all four countries based on agro-enterprise models that are replicable and scaleable across the sub-region</v>
      </c>
      <c r="C124" s="56">
        <f>'Major Activity 14'!B30</f>
        <v>0</v>
      </c>
      <c r="D124" s="56">
        <f>'Major Activity 14'!C30</f>
        <v>0</v>
      </c>
      <c r="E124" s="56">
        <f>'Major Activity 14'!D30</f>
        <v>37500</v>
      </c>
      <c r="F124" s="56">
        <f>'Major Activity 14'!E30</f>
        <v>37500</v>
      </c>
      <c r="G124" s="56">
        <f>'Major Activity 14'!F30</f>
        <v>0</v>
      </c>
      <c r="H124" s="56">
        <f>'Major Activity 14'!G30</f>
        <v>75000</v>
      </c>
      <c r="I124" s="68"/>
      <c r="J124" s="19"/>
      <c r="K124" s="19"/>
    </row>
    <row r="125" spans="1:11" s="4" customFormat="1" ht="33.75">
      <c r="A125" s="238">
        <v>15</v>
      </c>
      <c r="B125" s="228" t="str">
        <f>'Basic Info'!C39</f>
        <v>Develop and share with the international development community (e.g. donors, governments, etc) a strategy for how to replicate MFP-based agro-enterprises in ECOWAS and other Sub Saharan countries</v>
      </c>
      <c r="C125" s="56">
        <f>'Major Activity 15'!B34</f>
        <v>0</v>
      </c>
      <c r="D125" s="56">
        <f>'Major Activity 15'!C34</f>
        <v>0</v>
      </c>
      <c r="E125" s="56">
        <f>'Major Activity 15'!D34</f>
        <v>0</v>
      </c>
      <c r="F125" s="56">
        <f>'Major Activity 15'!E34</f>
        <v>55000</v>
      </c>
      <c r="G125" s="56">
        <f>'Major Activity 15'!F34</f>
        <v>0</v>
      </c>
      <c r="H125" s="56">
        <f>'Major Activity 15'!G34</f>
        <v>55000</v>
      </c>
      <c r="I125" s="68"/>
      <c r="J125" s="19"/>
      <c r="K125" s="19"/>
    </row>
    <row r="126" spans="1:11" s="4" customFormat="1" ht="14.25">
      <c r="A126" s="168"/>
      <c r="B126" s="23"/>
      <c r="C126" s="24"/>
      <c r="D126" s="24"/>
      <c r="E126" s="24"/>
      <c r="F126" s="24"/>
      <c r="G126" s="24"/>
      <c r="H126" s="24"/>
      <c r="I126" s="69"/>
      <c r="J126" s="44"/>
      <c r="K126" s="34"/>
    </row>
    <row r="127" spans="2:11" s="4" customFormat="1" ht="14.25">
      <c r="B127" s="41" t="s">
        <v>344</v>
      </c>
      <c r="C127" s="55">
        <v>0</v>
      </c>
      <c r="D127" s="55">
        <v>0</v>
      </c>
      <c r="E127" s="55">
        <v>0</v>
      </c>
      <c r="F127" s="55">
        <v>0</v>
      </c>
      <c r="G127" s="55">
        <v>0</v>
      </c>
      <c r="H127" s="55">
        <v>0</v>
      </c>
      <c r="I127" s="66">
        <f>IF(ISERROR(H127/H$172)=TRUE,"-",H127/H$172)</f>
        <v>0</v>
      </c>
      <c r="J127" s="19"/>
      <c r="K127" s="19"/>
    </row>
    <row r="128" spans="1:11" s="4" customFormat="1" ht="22.5" hidden="1">
      <c r="A128" s="238">
        <v>1</v>
      </c>
      <c r="B128" s="228" t="str">
        <f>'Basic Info'!C25</f>
        <v>Conduct village-level feasibility studies for enterprise formation, including business and financing plans and gender analyzes for each village</v>
      </c>
      <c r="C128" s="61">
        <v>0</v>
      </c>
      <c r="D128" s="61">
        <v>0</v>
      </c>
      <c r="E128" s="61">
        <v>0</v>
      </c>
      <c r="F128" s="61">
        <v>0</v>
      </c>
      <c r="G128" s="61">
        <v>0</v>
      </c>
      <c r="H128" s="61">
        <v>0</v>
      </c>
      <c r="I128" s="68"/>
      <c r="J128" s="19"/>
      <c r="K128" s="19"/>
    </row>
    <row r="129" spans="1:11" s="4" customFormat="1" ht="33.75" hidden="1">
      <c r="A129" s="238">
        <v>2</v>
      </c>
      <c r="B129" s="228" t="str">
        <f>'Basic Info'!C26</f>
        <v>Create the enabling conditions for the MFP-based enterprises by training women’s groups and artisan networks and ensuring gender sensitive training</v>
      </c>
      <c r="C129" s="61">
        <v>0</v>
      </c>
      <c r="D129" s="61">
        <v>0</v>
      </c>
      <c r="E129" s="61">
        <v>0</v>
      </c>
      <c r="F129" s="61">
        <v>0</v>
      </c>
      <c r="G129" s="61">
        <v>0</v>
      </c>
      <c r="H129" s="61">
        <v>0</v>
      </c>
      <c r="I129" s="68"/>
      <c r="J129" s="19"/>
      <c r="K129" s="19"/>
    </row>
    <row r="130" spans="1:11" s="4" customFormat="1" ht="22.5" hidden="1">
      <c r="A130" s="238">
        <v>3</v>
      </c>
      <c r="B130" s="228" t="str">
        <f>'Basic Info'!C27</f>
        <v>Install multifunctional platforms including depots for spare parts and equipment for artisans </v>
      </c>
      <c r="C130" s="61">
        <v>0</v>
      </c>
      <c r="D130" s="61">
        <v>0</v>
      </c>
      <c r="E130" s="61">
        <v>0</v>
      </c>
      <c r="F130" s="61">
        <v>0</v>
      </c>
      <c r="G130" s="61">
        <v>0</v>
      </c>
      <c r="H130" s="61">
        <v>0</v>
      </c>
      <c r="I130" s="68"/>
      <c r="J130" s="19"/>
      <c r="K130" s="19"/>
    </row>
    <row r="131" spans="1:11" s="4" customFormat="1" ht="22.5" hidden="1">
      <c r="A131" s="238">
        <v>4</v>
      </c>
      <c r="B131" s="228" t="str">
        <f>'Basic Info'!C28</f>
        <v>Conduct village-level monitoring and evaluation, including data gathering for detailed thematic assessments and gender analysis</v>
      </c>
      <c r="C131" s="61">
        <v>0</v>
      </c>
      <c r="D131" s="61">
        <v>0</v>
      </c>
      <c r="E131" s="61">
        <v>0</v>
      </c>
      <c r="F131" s="61">
        <v>0</v>
      </c>
      <c r="G131" s="61">
        <v>0</v>
      </c>
      <c r="H131" s="61">
        <v>0</v>
      </c>
      <c r="I131" s="68"/>
      <c r="J131" s="19"/>
      <c r="K131" s="19"/>
    </row>
    <row r="132" spans="1:11" s="4" customFormat="1" ht="33.75" hidden="1">
      <c r="A132" s="238">
        <v>5</v>
      </c>
      <c r="B132" s="228" t="str">
        <f>'Basic Info'!C29</f>
        <v>Strengthen the capacity of national program teams and local partners on all aspects of MFP planning and  implementation, including gender analysis</v>
      </c>
      <c r="C132" s="61">
        <v>0</v>
      </c>
      <c r="D132" s="61">
        <v>0</v>
      </c>
      <c r="E132" s="61">
        <v>0</v>
      </c>
      <c r="F132" s="61">
        <v>0</v>
      </c>
      <c r="G132" s="61">
        <v>0</v>
      </c>
      <c r="H132" s="61">
        <v>0</v>
      </c>
      <c r="I132" s="68"/>
      <c r="J132" s="19"/>
      <c r="K132" s="19"/>
    </row>
    <row r="133" spans="1:11" s="4" customFormat="1" ht="33.75" hidden="1">
      <c r="A133" s="238">
        <v>6</v>
      </c>
      <c r="B133" s="228" t="str">
        <f>'Basic Info'!C30</f>
        <v>Expand financing options by supporting national partners in identifying micro-credit institutions and developing partnerships to help extend micro-credit to MFP communities  </v>
      </c>
      <c r="C133" s="61">
        <v>0</v>
      </c>
      <c r="D133" s="61">
        <v>0</v>
      </c>
      <c r="E133" s="61">
        <v>0</v>
      </c>
      <c r="F133" s="61">
        <v>0</v>
      </c>
      <c r="G133" s="61">
        <v>0</v>
      </c>
      <c r="H133" s="61">
        <v>0</v>
      </c>
      <c r="I133" s="68"/>
      <c r="J133" s="19"/>
      <c r="K133" s="19"/>
    </row>
    <row r="134" spans="1:11" s="4" customFormat="1" ht="33.75" hidden="1">
      <c r="A134" s="238">
        <v>7</v>
      </c>
      <c r="B134" s="228" t="str">
        <f>'Basic Info'!C31</f>
        <v>Expand technology options for the MFP which could increase and diversify income-generating opportunities along the agricultural value chain</v>
      </c>
      <c r="C134" s="61">
        <v>0</v>
      </c>
      <c r="D134" s="61">
        <v>0</v>
      </c>
      <c r="E134" s="61">
        <v>0</v>
      </c>
      <c r="F134" s="61">
        <v>0</v>
      </c>
      <c r="G134" s="61">
        <v>0</v>
      </c>
      <c r="H134" s="61">
        <v>0</v>
      </c>
      <c r="I134" s="68"/>
      <c r="J134" s="19"/>
      <c r="K134" s="19"/>
    </row>
    <row r="135" spans="1:11" s="4" customFormat="1" ht="22.5" hidden="1">
      <c r="A135" s="238">
        <v>8</v>
      </c>
      <c r="B135" s="228" t="str">
        <f>'Basic Info'!C32</f>
        <v>Research and test the potential of using biofuels as a fuel substitute for the MFPs</v>
      </c>
      <c r="C135" s="61">
        <v>0</v>
      </c>
      <c r="D135" s="61">
        <v>0</v>
      </c>
      <c r="E135" s="61">
        <v>0</v>
      </c>
      <c r="F135" s="61">
        <v>0</v>
      </c>
      <c r="G135" s="61">
        <v>0</v>
      </c>
      <c r="H135" s="61">
        <v>0</v>
      </c>
      <c r="I135" s="68"/>
      <c r="J135" s="19"/>
      <c r="K135" s="19"/>
    </row>
    <row r="136" spans="1:11" s="4" customFormat="1" ht="45" hidden="1">
      <c r="A136" s="238">
        <v>9</v>
      </c>
      <c r="B136" s="228" t="str">
        <f>'Basic Info'!C33</f>
        <v>Strengthen national policy frameworks, including national poverty reduction strategies and budgets, to support the expansion of MFP-based agro-enterprises and ensure gender dynamics are integrated in national policies</v>
      </c>
      <c r="C136" s="61">
        <v>0</v>
      </c>
      <c r="D136" s="61">
        <v>0</v>
      </c>
      <c r="E136" s="61">
        <v>0</v>
      </c>
      <c r="F136" s="61">
        <v>0</v>
      </c>
      <c r="G136" s="61">
        <v>0</v>
      </c>
      <c r="H136" s="61">
        <v>0</v>
      </c>
      <c r="I136" s="68"/>
      <c r="J136" s="19"/>
      <c r="K136" s="19"/>
    </row>
    <row r="137" spans="1:11" s="4" customFormat="1" ht="22.5" hidden="1">
      <c r="A137" s="238">
        <v>10</v>
      </c>
      <c r="B137" s="228" t="str">
        <f>'Basic Info'!C34</f>
        <v>Develop and disseminate national and sub regional communication/advocacy materials</v>
      </c>
      <c r="C137" s="61">
        <v>0</v>
      </c>
      <c r="D137" s="61">
        <v>0</v>
      </c>
      <c r="E137" s="61">
        <v>0</v>
      </c>
      <c r="F137" s="61">
        <v>0</v>
      </c>
      <c r="G137" s="61">
        <v>0</v>
      </c>
      <c r="H137" s="61">
        <v>0</v>
      </c>
      <c r="I137" s="68"/>
      <c r="J137" s="19"/>
      <c r="K137" s="19"/>
    </row>
    <row r="138" spans="1:11" s="4" customFormat="1" ht="22.5" hidden="1">
      <c r="A138" s="238">
        <v>11</v>
      </c>
      <c r="B138" s="228" t="str">
        <f>'Basic Info'!C35</f>
        <v>Enhance knowledge codification and sharing to improve the effectiveness of MFP implementation</v>
      </c>
      <c r="C138" s="61">
        <v>0</v>
      </c>
      <c r="D138" s="61">
        <v>0</v>
      </c>
      <c r="E138" s="61">
        <v>0</v>
      </c>
      <c r="F138" s="61">
        <v>0</v>
      </c>
      <c r="G138" s="61">
        <v>0</v>
      </c>
      <c r="H138" s="61">
        <v>0</v>
      </c>
      <c r="I138" s="68"/>
      <c r="J138" s="19"/>
      <c r="K138" s="19"/>
    </row>
    <row r="139" spans="1:11" s="4" customFormat="1" ht="45" hidden="1">
      <c r="A139" s="238">
        <v>12</v>
      </c>
      <c r="B139" s="228" t="str">
        <f>'Basic Info'!C36</f>
        <v>Develop and update operational toolkits and user guides, covering 20 different modules, including installing/operating  new technologies, accessing micro-credit, conducting  feasibilities studies, business formulation, M&amp;E, gender, etc</v>
      </c>
      <c r="C139" s="61">
        <v>0</v>
      </c>
      <c r="D139" s="61">
        <v>0</v>
      </c>
      <c r="E139" s="61">
        <v>0</v>
      </c>
      <c r="F139" s="61">
        <v>0</v>
      </c>
      <c r="G139" s="61">
        <v>0</v>
      </c>
      <c r="H139" s="61">
        <v>0</v>
      </c>
      <c r="I139" s="68"/>
      <c r="J139" s="19"/>
      <c r="K139" s="19"/>
    </row>
    <row r="140" spans="1:11" s="4" customFormat="1" ht="14.25" hidden="1">
      <c r="A140" s="238">
        <v>13</v>
      </c>
      <c r="B140" s="228" t="e">
        <f>'Basic Info'!#REF!</f>
        <v>#REF!</v>
      </c>
      <c r="C140" s="61">
        <v>0</v>
      </c>
      <c r="D140" s="61">
        <v>0</v>
      </c>
      <c r="E140" s="61">
        <v>0</v>
      </c>
      <c r="F140" s="61">
        <v>0</v>
      </c>
      <c r="G140" s="61">
        <v>0</v>
      </c>
      <c r="H140" s="61">
        <v>0</v>
      </c>
      <c r="I140" s="68"/>
      <c r="J140" s="19"/>
      <c r="K140" s="19"/>
    </row>
    <row r="141" spans="1:11" s="4" customFormat="1" ht="67.5" hidden="1">
      <c r="A141" s="238">
        <v>14</v>
      </c>
      <c r="B141" s="228"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141" s="61">
        <v>0</v>
      </c>
      <c r="D141" s="61">
        <v>0</v>
      </c>
      <c r="E141" s="61">
        <v>0</v>
      </c>
      <c r="F141" s="61">
        <v>0</v>
      </c>
      <c r="G141" s="61">
        <v>0</v>
      </c>
      <c r="H141" s="61">
        <v>0</v>
      </c>
      <c r="I141" s="68"/>
      <c r="J141" s="19"/>
      <c r="K141" s="19"/>
    </row>
    <row r="142" spans="1:11" s="4" customFormat="1" ht="33.75" hidden="1">
      <c r="A142" s="238">
        <v>15</v>
      </c>
      <c r="B142" s="228" t="str">
        <f>'Basic Info'!C38</f>
        <v>Develop and launch full-scale national MFP programs and lending proposals for all four countries based on agro-enterprise models that are replicable and scaleable across the sub-region</v>
      </c>
      <c r="C142" s="61">
        <v>0</v>
      </c>
      <c r="D142" s="61">
        <v>0</v>
      </c>
      <c r="E142" s="61">
        <v>0</v>
      </c>
      <c r="F142" s="61">
        <v>0</v>
      </c>
      <c r="G142" s="61">
        <v>0</v>
      </c>
      <c r="H142" s="61">
        <v>0</v>
      </c>
      <c r="I142" s="68"/>
      <c r="J142" s="19"/>
      <c r="K142" s="19"/>
    </row>
    <row r="143" spans="1:11" s="4" customFormat="1" ht="33.75" hidden="1">
      <c r="A143" s="238">
        <v>16</v>
      </c>
      <c r="B143" s="228" t="str">
        <f>'Basic Info'!C39</f>
        <v>Develop and share with the international development community (e.g. donors, governments, etc) a strategy for how to replicate MFP-based agro-enterprises in ECOWAS and other Sub Saharan countries</v>
      </c>
      <c r="C143" s="61">
        <v>0</v>
      </c>
      <c r="D143" s="61">
        <v>0</v>
      </c>
      <c r="E143" s="61">
        <v>0</v>
      </c>
      <c r="F143" s="61">
        <v>0</v>
      </c>
      <c r="G143" s="61">
        <v>0</v>
      </c>
      <c r="H143" s="61">
        <v>0</v>
      </c>
      <c r="I143" s="68"/>
      <c r="J143" s="19"/>
      <c r="K143" s="19"/>
    </row>
    <row r="144" spans="1:11" s="4" customFormat="1" ht="14.25" hidden="1">
      <c r="A144" s="238">
        <v>17</v>
      </c>
      <c r="B144" s="228" t="e">
        <f>'Basic Info'!#REF!</f>
        <v>#REF!</v>
      </c>
      <c r="C144" s="61">
        <v>0</v>
      </c>
      <c r="D144" s="61">
        <v>0</v>
      </c>
      <c r="E144" s="61">
        <v>0</v>
      </c>
      <c r="F144" s="61">
        <v>0</v>
      </c>
      <c r="G144" s="61">
        <v>0</v>
      </c>
      <c r="H144" s="61">
        <v>0</v>
      </c>
      <c r="I144" s="68"/>
      <c r="J144" s="19"/>
      <c r="K144" s="19"/>
    </row>
    <row r="145" spans="1:11" s="4" customFormat="1" ht="14.25" hidden="1">
      <c r="A145" s="238">
        <v>18</v>
      </c>
      <c r="B145" s="228" t="e">
        <f>'Basic Info'!#REF!</f>
        <v>#REF!</v>
      </c>
      <c r="C145" s="61">
        <v>0</v>
      </c>
      <c r="D145" s="61">
        <v>0</v>
      </c>
      <c r="E145" s="61">
        <v>0</v>
      </c>
      <c r="F145" s="61">
        <v>0</v>
      </c>
      <c r="G145" s="61">
        <v>0</v>
      </c>
      <c r="H145" s="61">
        <v>0</v>
      </c>
      <c r="I145" s="68"/>
      <c r="J145" s="19"/>
      <c r="K145" s="19"/>
    </row>
    <row r="146" spans="1:11" s="4" customFormat="1" ht="14.25" hidden="1">
      <c r="A146" s="238">
        <v>19</v>
      </c>
      <c r="B146" s="228" t="e">
        <f>'Basic Info'!#REF!</f>
        <v>#REF!</v>
      </c>
      <c r="C146" s="61">
        <v>0</v>
      </c>
      <c r="D146" s="61">
        <v>0</v>
      </c>
      <c r="E146" s="61">
        <v>0</v>
      </c>
      <c r="F146" s="61">
        <v>0</v>
      </c>
      <c r="G146" s="61">
        <v>0</v>
      </c>
      <c r="H146" s="61">
        <v>0</v>
      </c>
      <c r="I146" s="68"/>
      <c r="J146" s="19"/>
      <c r="K146" s="19"/>
    </row>
    <row r="147" spans="2:11" s="4" customFormat="1" ht="14.25">
      <c r="B147" s="11"/>
      <c r="C147" s="18"/>
      <c r="D147" s="18"/>
      <c r="E147" s="18"/>
      <c r="F147" s="18"/>
      <c r="G147" s="18"/>
      <c r="H147" s="18"/>
      <c r="I147" s="68"/>
      <c r="J147" s="19"/>
      <c r="K147" s="19"/>
    </row>
    <row r="148" spans="2:11" s="4" customFormat="1" ht="14.25">
      <c r="B148" s="46" t="s">
        <v>367</v>
      </c>
      <c r="C148" s="57">
        <f aca="true" t="shared" si="7" ref="C148:H148">C109+C127</f>
        <v>1181975</v>
      </c>
      <c r="D148" s="57">
        <f t="shared" si="7"/>
        <v>1268400</v>
      </c>
      <c r="E148" s="57">
        <f t="shared" si="7"/>
        <v>1406075</v>
      </c>
      <c r="F148" s="57">
        <f t="shared" si="7"/>
        <v>1039850</v>
      </c>
      <c r="G148" s="57">
        <f t="shared" si="7"/>
        <v>0</v>
      </c>
      <c r="H148" s="57">
        <f t="shared" si="7"/>
        <v>4896300</v>
      </c>
      <c r="I148" s="72"/>
      <c r="J148" s="19"/>
      <c r="K148" s="19"/>
    </row>
    <row r="149" spans="1:28" s="84" customFormat="1" ht="14.25">
      <c r="A149" s="85"/>
      <c r="B149" s="46" t="s">
        <v>372</v>
      </c>
      <c r="C149" s="57">
        <v>0</v>
      </c>
      <c r="D149" s="57">
        <v>0</v>
      </c>
      <c r="E149" s="57">
        <v>0</v>
      </c>
      <c r="F149" s="57">
        <v>0</v>
      </c>
      <c r="G149" s="57">
        <v>0</v>
      </c>
      <c r="H149" s="57">
        <v>0</v>
      </c>
      <c r="I149" s="66">
        <f>IF(ISERROR(H149/H$172)=TRUE,"-",H149/H$172)</f>
        <v>0</v>
      </c>
      <c r="J149" s="19"/>
      <c r="K149" s="19"/>
      <c r="L149" s="85"/>
      <c r="M149" s="85"/>
      <c r="N149" s="85"/>
      <c r="O149" s="85"/>
      <c r="P149" s="85"/>
      <c r="Q149" s="85"/>
      <c r="R149" s="85"/>
      <c r="S149" s="85"/>
      <c r="T149" s="85"/>
      <c r="U149" s="85"/>
      <c r="V149" s="85"/>
      <c r="W149" s="85"/>
      <c r="X149" s="85"/>
      <c r="Y149" s="85"/>
      <c r="Z149" s="85"/>
      <c r="AA149" s="85"/>
      <c r="AB149" s="85"/>
    </row>
    <row r="150" spans="1:28" s="84" customFormat="1" ht="14.25">
      <c r="A150" s="85"/>
      <c r="B150" s="46" t="s">
        <v>368</v>
      </c>
      <c r="C150" s="59">
        <f aca="true" t="shared" si="8" ref="C150:H150">SUM(C148:C149)</f>
        <v>1181975</v>
      </c>
      <c r="D150" s="59">
        <f t="shared" si="8"/>
        <v>1268400</v>
      </c>
      <c r="E150" s="59">
        <f t="shared" si="8"/>
        <v>1406075</v>
      </c>
      <c r="F150" s="59">
        <f t="shared" si="8"/>
        <v>1039850</v>
      </c>
      <c r="G150" s="59">
        <f t="shared" si="8"/>
        <v>0</v>
      </c>
      <c r="H150" s="59">
        <f t="shared" si="8"/>
        <v>4896300</v>
      </c>
      <c r="I150" s="73"/>
      <c r="J150" s="19"/>
      <c r="K150" s="19"/>
      <c r="L150" s="85"/>
      <c r="M150" s="85"/>
      <c r="N150" s="85"/>
      <c r="O150" s="85"/>
      <c r="P150" s="85"/>
      <c r="Q150" s="85"/>
      <c r="R150" s="85"/>
      <c r="S150" s="85"/>
      <c r="T150" s="85"/>
      <c r="U150" s="85"/>
      <c r="V150" s="85"/>
      <c r="W150" s="85"/>
      <c r="X150" s="85"/>
      <c r="Y150" s="85"/>
      <c r="Z150" s="85"/>
      <c r="AA150" s="85"/>
      <c r="AB150" s="85"/>
    </row>
    <row r="151" spans="1:11" s="4" customFormat="1" ht="14.25">
      <c r="A151" s="168"/>
      <c r="B151" s="25"/>
      <c r="C151" s="24"/>
      <c r="D151" s="24"/>
      <c r="E151" s="24"/>
      <c r="F151" s="24"/>
      <c r="G151" s="24"/>
      <c r="H151" s="24"/>
      <c r="I151" s="69"/>
      <c r="J151" s="44"/>
      <c r="K151" s="34"/>
    </row>
    <row r="152" spans="2:11" s="4" customFormat="1" ht="14.25">
      <c r="B152" s="41" t="s">
        <v>343</v>
      </c>
      <c r="C152" s="55">
        <f aca="true" t="shared" si="9" ref="C152:H152">SUM(C153:C168)</f>
        <v>702650</v>
      </c>
      <c r="D152" s="55">
        <f t="shared" si="9"/>
        <v>1216000</v>
      </c>
      <c r="E152" s="55">
        <f t="shared" si="9"/>
        <v>1427500</v>
      </c>
      <c r="F152" s="55">
        <f t="shared" si="9"/>
        <v>790000</v>
      </c>
      <c r="G152" s="55">
        <f t="shared" si="9"/>
        <v>0</v>
      </c>
      <c r="H152" s="55">
        <f t="shared" si="9"/>
        <v>4136150</v>
      </c>
      <c r="I152" s="66">
        <f>H152/H172</f>
        <v>0.21769395325936555</v>
      </c>
      <c r="J152" s="19"/>
      <c r="K152" s="19"/>
    </row>
    <row r="153" spans="1:11" s="4" customFormat="1" ht="22.5">
      <c r="A153" s="238">
        <v>1</v>
      </c>
      <c r="B153" s="228" t="str">
        <f>'Basic Info'!C25</f>
        <v>Conduct village-level feasibility studies for enterprise formation, including business and financing plans and gender analyzes for each village</v>
      </c>
      <c r="C153" s="56">
        <f>'Major Activity 1'!B42</f>
        <v>0</v>
      </c>
      <c r="D153" s="56">
        <f>'Major Activity 1'!C42</f>
        <v>0</v>
      </c>
      <c r="E153" s="56">
        <f>'Major Activity 1'!D42</f>
        <v>0</v>
      </c>
      <c r="F153" s="56">
        <f>'Major Activity 1'!E42</f>
        <v>0</v>
      </c>
      <c r="G153" s="56">
        <f>'Major Activity 1'!F42</f>
        <v>0</v>
      </c>
      <c r="H153" s="56">
        <f>'Major Activity 1'!G42</f>
        <v>0</v>
      </c>
      <c r="I153" s="68"/>
      <c r="J153" s="19"/>
      <c r="K153" s="19"/>
    </row>
    <row r="154" spans="1:11" s="4" customFormat="1" ht="33.75">
      <c r="A154" s="238">
        <v>2</v>
      </c>
      <c r="B154" s="228" t="str">
        <f>'Basic Info'!C26</f>
        <v>Create the enabling conditions for the MFP-based enterprises by training women’s groups and artisan networks and ensuring gender sensitive training</v>
      </c>
      <c r="C154" s="56">
        <f>'Major Activity 2'!B35</f>
        <v>0</v>
      </c>
      <c r="D154" s="56">
        <f>'Major Activity 2'!C35</f>
        <v>0</v>
      </c>
      <c r="E154" s="56">
        <f>'Major Activity 2'!D35</f>
        <v>0</v>
      </c>
      <c r="F154" s="56">
        <f>'Major Activity 2'!E35</f>
        <v>0</v>
      </c>
      <c r="G154" s="56">
        <f>'Major Activity 2'!F35</f>
        <v>0</v>
      </c>
      <c r="H154" s="56">
        <f>'Major Activity 2'!G35</f>
        <v>0</v>
      </c>
      <c r="I154" s="68"/>
      <c r="J154" s="19"/>
      <c r="K154" s="19"/>
    </row>
    <row r="155" spans="1:11" s="4" customFormat="1" ht="22.5">
      <c r="A155" s="238">
        <v>3</v>
      </c>
      <c r="B155" s="228" t="str">
        <f>'Basic Info'!C27</f>
        <v>Install multifunctional platforms including depots for spare parts and equipment for artisans </v>
      </c>
      <c r="C155" s="56">
        <f>'Major Activity 3'!B37</f>
        <v>562500</v>
      </c>
      <c r="D155" s="56">
        <f>'Major Activity 3'!C37</f>
        <v>1125000</v>
      </c>
      <c r="E155" s="56">
        <f>'Major Activity 3'!D37</f>
        <v>1382500</v>
      </c>
      <c r="F155" s="56">
        <f>'Major Activity 3'!E37</f>
        <v>790000</v>
      </c>
      <c r="G155" s="56">
        <f>'Major Activity 3'!F37</f>
        <v>0</v>
      </c>
      <c r="H155" s="56">
        <f>'Major Activity 3'!G37</f>
        <v>3860000</v>
      </c>
      <c r="I155" s="68"/>
      <c r="J155" s="19"/>
      <c r="K155" s="19"/>
    </row>
    <row r="156" spans="1:11" s="4" customFormat="1" ht="22.5">
      <c r="A156" s="238">
        <v>4</v>
      </c>
      <c r="B156" s="228" t="str">
        <f>'Basic Info'!C28</f>
        <v>Conduct village-level monitoring and evaluation, including data gathering for detailed thematic assessments and gender analysis</v>
      </c>
      <c r="C156" s="56">
        <f>'Major Activity 4'!B49</f>
        <v>1650</v>
      </c>
      <c r="D156" s="56">
        <f>'Major Activity 4'!C49</f>
        <v>0</v>
      </c>
      <c r="E156" s="56">
        <f>'Major Activity 4'!D49</f>
        <v>0</v>
      </c>
      <c r="F156" s="56">
        <f>'Major Activity 4'!E49</f>
        <v>0</v>
      </c>
      <c r="G156" s="56">
        <f>'Major Activity 4'!F49</f>
        <v>0</v>
      </c>
      <c r="H156" s="56">
        <f>'Major Activity 4'!G49</f>
        <v>1650</v>
      </c>
      <c r="I156" s="68"/>
      <c r="J156" s="19"/>
      <c r="K156" s="19"/>
    </row>
    <row r="157" spans="1:11" s="4" customFormat="1" ht="33.75">
      <c r="A157" s="238">
        <v>5</v>
      </c>
      <c r="B157" s="228" t="str">
        <f>'Basic Info'!C29</f>
        <v>Strengthen the capacity of national program teams and local partners on all aspects of MFP planning and  implementation, including gender analysis</v>
      </c>
      <c r="C157" s="56">
        <f>'Major Activity 5'!B39</f>
        <v>0</v>
      </c>
      <c r="D157" s="56">
        <f>'Major Activity 5'!C39</f>
        <v>0</v>
      </c>
      <c r="E157" s="56">
        <f>'Major Activity 5'!D39</f>
        <v>0</v>
      </c>
      <c r="F157" s="56">
        <f>'Major Activity 5'!E39</f>
        <v>0</v>
      </c>
      <c r="G157" s="56">
        <f>'Major Activity 5'!F39</f>
        <v>0</v>
      </c>
      <c r="H157" s="56">
        <f>'Major Activity 5'!G39</f>
        <v>0</v>
      </c>
      <c r="I157" s="68"/>
      <c r="J157" s="19"/>
      <c r="K157" s="19"/>
    </row>
    <row r="158" spans="1:11" s="4" customFormat="1" ht="33.75">
      <c r="A158" s="238">
        <v>6</v>
      </c>
      <c r="B158" s="228" t="str">
        <f>'Basic Info'!C30</f>
        <v>Expand financing options by supporting national partners in identifying micro-credit institutions and developing partnerships to help extend micro-credit to MFP communities  </v>
      </c>
      <c r="C158" s="56">
        <f>'Major Activity 6'!B33</f>
        <v>0</v>
      </c>
      <c r="D158" s="56">
        <f>'Major Activity 6'!C33</f>
        <v>0</v>
      </c>
      <c r="E158" s="56">
        <f>'Major Activity 6'!D33</f>
        <v>0</v>
      </c>
      <c r="F158" s="56">
        <f>'Major Activity 6'!E33</f>
        <v>0</v>
      </c>
      <c r="G158" s="56">
        <f>'Major Activity 6'!F33</f>
        <v>0</v>
      </c>
      <c r="H158" s="56">
        <f>'Major Activity 6'!G33</f>
        <v>0</v>
      </c>
      <c r="I158" s="68"/>
      <c r="J158" s="19"/>
      <c r="K158" s="19"/>
    </row>
    <row r="159" spans="1:11" s="4" customFormat="1" ht="33.75">
      <c r="A159" s="238">
        <v>7</v>
      </c>
      <c r="B159" s="228" t="str">
        <f>'Basic Info'!C31</f>
        <v>Expand technology options for the MFP which could increase and diversify income-generating opportunities along the agricultural value chain</v>
      </c>
      <c r="C159" s="56">
        <f>'Major Activity 7'!B34</f>
        <v>45000</v>
      </c>
      <c r="D159" s="56">
        <f>'Major Activity 7'!C34</f>
        <v>0</v>
      </c>
      <c r="E159" s="56">
        <f>'Major Activity 7'!D34</f>
        <v>45000</v>
      </c>
      <c r="F159" s="56">
        <f>'Major Activity 7'!E34</f>
        <v>0</v>
      </c>
      <c r="G159" s="56">
        <f>'Major Activity 7'!F34</f>
        <v>0</v>
      </c>
      <c r="H159" s="56">
        <f>'Major Activity 7'!G34</f>
        <v>90000</v>
      </c>
      <c r="I159" s="68"/>
      <c r="J159" s="19"/>
      <c r="K159" s="19"/>
    </row>
    <row r="160" spans="1:11" s="4" customFormat="1" ht="22.5">
      <c r="A160" s="238">
        <v>8</v>
      </c>
      <c r="B160" s="228" t="str">
        <f>'Basic Info'!C32</f>
        <v>Research and test the potential of using biofuels as a fuel substitute for the MFPs</v>
      </c>
      <c r="C160" s="56">
        <f>'Major Activity 8'!B31</f>
        <v>91000</v>
      </c>
      <c r="D160" s="56">
        <f>'Major Activity 8'!C31</f>
        <v>91000</v>
      </c>
      <c r="E160" s="56">
        <f>'Major Activity 8'!D31</f>
        <v>0</v>
      </c>
      <c r="F160" s="56">
        <f>'Major Activity 8'!E31</f>
        <v>0</v>
      </c>
      <c r="G160" s="56">
        <f>'Major Activity 8'!F31</f>
        <v>0</v>
      </c>
      <c r="H160" s="56">
        <f>'Major Activity 8'!G31</f>
        <v>182000</v>
      </c>
      <c r="I160" s="68"/>
      <c r="J160" s="19"/>
      <c r="K160" s="19"/>
    </row>
    <row r="161" spans="1:11" s="4" customFormat="1" ht="45">
      <c r="A161" s="238">
        <v>9</v>
      </c>
      <c r="B161" s="228" t="str">
        <f>'Basic Info'!C33</f>
        <v>Strengthen national policy frameworks, including national poverty reduction strategies and budgets, to support the expansion of MFP-based agro-enterprises and ensure gender dynamics are integrated in national policies</v>
      </c>
      <c r="C161" s="56">
        <f>'Major Activity 9'!B40</f>
        <v>0</v>
      </c>
      <c r="D161" s="56">
        <f>'Major Activity 9'!C40</f>
        <v>0</v>
      </c>
      <c r="E161" s="56">
        <f>'Major Activity 9'!D40</f>
        <v>0</v>
      </c>
      <c r="F161" s="56">
        <f>'Major Activity 9'!E40</f>
        <v>0</v>
      </c>
      <c r="G161" s="56">
        <f>'Major Activity 9'!F40</f>
        <v>0</v>
      </c>
      <c r="H161" s="56">
        <f>'Major Activity 9'!G40</f>
        <v>0</v>
      </c>
      <c r="I161" s="68"/>
      <c r="J161" s="19"/>
      <c r="K161" s="19"/>
    </row>
    <row r="162" spans="1:11" s="4" customFormat="1" ht="22.5">
      <c r="A162" s="238">
        <v>10</v>
      </c>
      <c r="B162" s="228" t="str">
        <f>'Basic Info'!C34</f>
        <v>Develop and disseminate national and sub regional communication/advocacy materials</v>
      </c>
      <c r="C162" s="56">
        <f>'Major Activity 10'!B36</f>
        <v>2500</v>
      </c>
      <c r="D162" s="56">
        <f>'Major Activity 10'!C36</f>
        <v>0</v>
      </c>
      <c r="E162" s="56">
        <f>'Major Activity 10'!D36</f>
        <v>0</v>
      </c>
      <c r="F162" s="56">
        <f>'Major Activity 10'!E36</f>
        <v>0</v>
      </c>
      <c r="G162" s="56">
        <f>'Major Activity 10'!F36</f>
        <v>0</v>
      </c>
      <c r="H162" s="56">
        <f>'Major Activity 10'!G36</f>
        <v>2500</v>
      </c>
      <c r="I162" s="68"/>
      <c r="J162" s="19"/>
      <c r="K162" s="19"/>
    </row>
    <row r="163" spans="1:11" s="4" customFormat="1" ht="22.5">
      <c r="A163" s="238">
        <v>11</v>
      </c>
      <c r="B163" s="228" t="str">
        <f>'Basic Info'!C35</f>
        <v>Enhance knowledge codification and sharing to improve the effectiveness of MFP implementation</v>
      </c>
      <c r="C163" s="56">
        <f>'Major Activity 11'!B41</f>
        <v>0</v>
      </c>
      <c r="D163" s="56">
        <f>'Major Activity 11'!C41</f>
        <v>0</v>
      </c>
      <c r="E163" s="56">
        <f>'Major Activity 11'!D41</f>
        <v>0</v>
      </c>
      <c r="F163" s="56">
        <f>'Major Activity 11'!E41</f>
        <v>0</v>
      </c>
      <c r="G163" s="56">
        <f>'Major Activity 11'!F41</f>
        <v>0</v>
      </c>
      <c r="H163" s="56">
        <f>'Major Activity 11'!G41</f>
        <v>0</v>
      </c>
      <c r="I163" s="68"/>
      <c r="J163" s="19"/>
      <c r="K163" s="19"/>
    </row>
    <row r="164" spans="1:11" s="4" customFormat="1" ht="45">
      <c r="A164" s="238">
        <v>12</v>
      </c>
      <c r="B164" s="228" t="str">
        <f>'Basic Info'!C36</f>
        <v>Develop and update operational toolkits and user guides, covering 20 different modules, including installing/operating  new technologies, accessing micro-credit, conducting  feasibilities studies, business formulation, M&amp;E, gender, etc</v>
      </c>
      <c r="C164" s="56">
        <f>'Major Activity 12'!B41</f>
        <v>0</v>
      </c>
      <c r="D164" s="56">
        <f>'Major Activity 12'!C41</f>
        <v>0</v>
      </c>
      <c r="E164" s="56">
        <f>'Major Activity 12'!D41</f>
        <v>0</v>
      </c>
      <c r="F164" s="56">
        <f>'Major Activity 12'!E41</f>
        <v>0</v>
      </c>
      <c r="G164" s="56">
        <f>'Major Activity 12'!F41</f>
        <v>0</v>
      </c>
      <c r="H164" s="56">
        <f>'Major Activity 12'!G41</f>
        <v>0</v>
      </c>
      <c r="I164" s="68"/>
      <c r="J164" s="19"/>
      <c r="K164" s="19"/>
    </row>
    <row r="165" spans="2:11" s="4" customFormat="1" ht="14.25" hidden="1">
      <c r="B165" s="228"/>
      <c r="C165" s="56">
        <v>0</v>
      </c>
      <c r="D165" s="56">
        <v>0</v>
      </c>
      <c r="E165" s="56">
        <v>0</v>
      </c>
      <c r="F165" s="56">
        <v>0</v>
      </c>
      <c r="G165" s="56">
        <v>0</v>
      </c>
      <c r="H165" s="56">
        <v>0</v>
      </c>
      <c r="I165" s="68"/>
      <c r="J165" s="19"/>
      <c r="K165" s="19"/>
    </row>
    <row r="166" spans="1:11" s="4" customFormat="1" ht="67.5">
      <c r="A166" s="238">
        <v>13</v>
      </c>
      <c r="B166" s="228"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166" s="56">
        <f>'Major Activity 13'!B46</f>
        <v>0</v>
      </c>
      <c r="D166" s="56">
        <f>'Major Activity 13'!C46</f>
        <v>0</v>
      </c>
      <c r="E166" s="56">
        <f>'Major Activity 13'!D46</f>
        <v>0</v>
      </c>
      <c r="F166" s="56">
        <f>'Major Activity 13'!E46</f>
        <v>0</v>
      </c>
      <c r="G166" s="56">
        <f>'Major Activity 13'!F46</f>
        <v>0</v>
      </c>
      <c r="H166" s="56">
        <f>'Major Activity 13'!G46</f>
        <v>0</v>
      </c>
      <c r="I166" s="68"/>
      <c r="J166" s="19"/>
      <c r="K166" s="19"/>
    </row>
    <row r="167" spans="1:11" s="4" customFormat="1" ht="33.75">
      <c r="A167" s="238">
        <v>14</v>
      </c>
      <c r="B167" s="228" t="str">
        <f>'Basic Info'!C38</f>
        <v>Develop and launch full-scale national MFP programs and lending proposals for all four countries based on agro-enterprise models that are replicable and scaleable across the sub-region</v>
      </c>
      <c r="C167" s="56">
        <f>'Major Activity 14'!B37</f>
        <v>0</v>
      </c>
      <c r="D167" s="56">
        <f>'Major Activity 14'!C37</f>
        <v>0</v>
      </c>
      <c r="E167" s="56">
        <f>'Major Activity 14'!D37</f>
        <v>0</v>
      </c>
      <c r="F167" s="56">
        <f>'Major Activity 14'!E37</f>
        <v>0</v>
      </c>
      <c r="G167" s="56">
        <f>'Major Activity 14'!F37</f>
        <v>0</v>
      </c>
      <c r="H167" s="56">
        <f>'Major Activity 14'!G37</f>
        <v>0</v>
      </c>
      <c r="I167" s="68"/>
      <c r="J167" s="19"/>
      <c r="K167" s="19"/>
    </row>
    <row r="168" spans="1:11" s="4" customFormat="1" ht="33.75">
      <c r="A168" s="238">
        <v>15</v>
      </c>
      <c r="B168" s="228" t="str">
        <f>'Basic Info'!C39</f>
        <v>Develop and share with the international development community (e.g. donors, governments, etc) a strategy for how to replicate MFP-based agro-enterprises in ECOWAS and other Sub Saharan countries</v>
      </c>
      <c r="C168" s="56">
        <f>'Major Activity 15'!B43</f>
        <v>0</v>
      </c>
      <c r="D168" s="56">
        <f>'Major Activity 15'!C43</f>
        <v>0</v>
      </c>
      <c r="E168" s="56">
        <f>'Major Activity 15'!D43</f>
        <v>0</v>
      </c>
      <c r="F168" s="56">
        <f>'Major Activity 15'!E43</f>
        <v>0</v>
      </c>
      <c r="G168" s="56">
        <f>'Major Activity 15'!F43</f>
        <v>0</v>
      </c>
      <c r="H168" s="56">
        <f>'Major Activity 15'!G43</f>
        <v>0</v>
      </c>
      <c r="I168" s="68"/>
      <c r="J168" s="19"/>
      <c r="K168" s="19"/>
    </row>
    <row r="169" spans="2:11" ht="14.25">
      <c r="B169" s="170"/>
      <c r="C169" s="227"/>
      <c r="D169" s="60"/>
      <c r="E169" s="60"/>
      <c r="F169" s="60"/>
      <c r="G169" s="60"/>
      <c r="H169" s="60"/>
      <c r="I169" s="74"/>
      <c r="J169" s="29"/>
      <c r="K169" s="19"/>
    </row>
    <row r="170" spans="1:28" s="84" customFormat="1" ht="14.25">
      <c r="A170" s="85"/>
      <c r="B170" s="39" t="s">
        <v>369</v>
      </c>
      <c r="C170" s="61">
        <f aca="true" t="shared" si="10" ref="C170:H170">C152+C150+C107</f>
        <v>3985325</v>
      </c>
      <c r="D170" s="61">
        <f t="shared" si="10"/>
        <v>5025300</v>
      </c>
      <c r="E170" s="61">
        <f t="shared" si="10"/>
        <v>4904175</v>
      </c>
      <c r="F170" s="61">
        <f t="shared" si="10"/>
        <v>3755050</v>
      </c>
      <c r="G170" s="61">
        <f t="shared" si="10"/>
        <v>0</v>
      </c>
      <c r="H170" s="61">
        <f t="shared" si="10"/>
        <v>17669850</v>
      </c>
      <c r="I170" s="66" t="str">
        <f>IF(ISERROR(H170/H$169)=TRUE,"-",H170/H$169)</f>
        <v>-</v>
      </c>
      <c r="J170" s="62">
        <f>SUM(J13:J157)</f>
        <v>0</v>
      </c>
      <c r="K170" s="19"/>
      <c r="L170" s="85"/>
      <c r="M170" s="85"/>
      <c r="N170" s="85"/>
      <c r="O170" s="85"/>
      <c r="P170" s="85"/>
      <c r="Q170" s="85"/>
      <c r="R170" s="85"/>
      <c r="S170" s="85"/>
      <c r="T170" s="85"/>
      <c r="U170" s="85"/>
      <c r="V170" s="85"/>
      <c r="W170" s="85"/>
      <c r="X170" s="85"/>
      <c r="Y170" s="85"/>
      <c r="Z170" s="85"/>
      <c r="AA170" s="85"/>
      <c r="AB170" s="85"/>
    </row>
    <row r="171" spans="1:28" s="187" customFormat="1" ht="14.25">
      <c r="A171" s="86"/>
      <c r="B171" s="45" t="s">
        <v>164</v>
      </c>
      <c r="C171" s="61">
        <f aca="true" t="shared" si="11" ref="C171:H171">C172-C170</f>
        <v>299970.69892473053</v>
      </c>
      <c r="D171" s="61">
        <f t="shared" si="11"/>
        <v>378248.38709677383</v>
      </c>
      <c r="E171" s="61">
        <f t="shared" si="11"/>
        <v>369131.4516129028</v>
      </c>
      <c r="F171" s="61">
        <f t="shared" si="11"/>
        <v>282638.1720430106</v>
      </c>
      <c r="G171" s="61">
        <f t="shared" si="11"/>
        <v>0</v>
      </c>
      <c r="H171" s="61">
        <f t="shared" si="11"/>
        <v>1329988.7096774168</v>
      </c>
      <c r="I171" s="66" t="str">
        <f>IF(ISERROR(H171/H$169)=TRUE,"-",H171/H$169)</f>
        <v>-</v>
      </c>
      <c r="J171" s="63"/>
      <c r="K171" s="19"/>
      <c r="L171" s="86"/>
      <c r="M171" s="86"/>
      <c r="N171" s="86"/>
      <c r="O171" s="86"/>
      <c r="P171" s="86"/>
      <c r="Q171" s="86"/>
      <c r="R171" s="86"/>
      <c r="S171" s="86"/>
      <c r="T171" s="86"/>
      <c r="U171" s="86"/>
      <c r="V171" s="86"/>
      <c r="W171" s="86"/>
      <c r="X171" s="86"/>
      <c r="Y171" s="86"/>
      <c r="Z171" s="86"/>
      <c r="AA171" s="86"/>
      <c r="AB171" s="86"/>
    </row>
    <row r="172" spans="1:28" s="4" customFormat="1" ht="14.25">
      <c r="A172" s="2"/>
      <c r="B172" s="39" t="s">
        <v>349</v>
      </c>
      <c r="C172" s="55">
        <f aca="true" t="shared" si="12" ref="C172:H172">C170/0.93</f>
        <v>4285295.6989247305</v>
      </c>
      <c r="D172" s="55">
        <f t="shared" si="12"/>
        <v>5403548.387096774</v>
      </c>
      <c r="E172" s="55">
        <f t="shared" si="12"/>
        <v>5273306.451612903</v>
      </c>
      <c r="F172" s="55">
        <f t="shared" si="12"/>
        <v>4037688.1720430106</v>
      </c>
      <c r="G172" s="55">
        <f t="shared" si="12"/>
        <v>0</v>
      </c>
      <c r="H172" s="55">
        <f t="shared" si="12"/>
        <v>18999838.709677417</v>
      </c>
      <c r="I172" s="66" t="str">
        <f>IF(ISERROR(H172/H$169)=TRUE,"-",H172/H$169)</f>
        <v>-</v>
      </c>
      <c r="J172" s="62">
        <f>J170+J149</f>
        <v>0</v>
      </c>
      <c r="K172" s="19"/>
      <c r="L172" s="2"/>
      <c r="M172" s="2"/>
      <c r="N172" s="2"/>
      <c r="O172" s="2"/>
      <c r="P172" s="2"/>
      <c r="Q172" s="2"/>
      <c r="R172" s="2"/>
      <c r="S172" s="2"/>
      <c r="T172" s="2"/>
      <c r="U172" s="2"/>
      <c r="V172" s="2"/>
      <c r="W172" s="2"/>
      <c r="X172" s="2"/>
      <c r="Y172" s="2"/>
      <c r="Z172" s="2"/>
      <c r="AA172" s="2"/>
      <c r="AB172" s="2"/>
    </row>
    <row r="173" spans="1:28" s="4" customFormat="1" ht="14.25">
      <c r="A173" s="2"/>
      <c r="B173" s="170"/>
      <c r="C173" s="235"/>
      <c r="D173" s="18"/>
      <c r="E173" s="18"/>
      <c r="F173" s="18"/>
      <c r="G173" s="18"/>
      <c r="H173" s="40"/>
      <c r="I173" s="75"/>
      <c r="J173" s="18"/>
      <c r="K173" s="13"/>
      <c r="L173" s="2"/>
      <c r="M173" s="2"/>
      <c r="N173" s="2"/>
      <c r="O173" s="2"/>
      <c r="P173" s="2"/>
      <c r="Q173" s="2"/>
      <c r="R173" s="2"/>
      <c r="S173" s="2"/>
      <c r="T173" s="2"/>
      <c r="U173" s="2"/>
      <c r="V173" s="2"/>
      <c r="W173" s="2"/>
      <c r="X173" s="2"/>
      <c r="Y173" s="2"/>
      <c r="Z173" s="2"/>
      <c r="AA173" s="2"/>
      <c r="AB173" s="2"/>
    </row>
    <row r="174" spans="2:11" ht="14.25">
      <c r="B174" s="170" t="s">
        <v>461</v>
      </c>
      <c r="H174" s="142"/>
      <c r="I174" s="65"/>
      <c r="J174" s="10"/>
      <c r="K174" s="13"/>
    </row>
    <row r="175" spans="2:11" ht="51" customHeight="1">
      <c r="B175" s="287" t="s">
        <v>462</v>
      </c>
      <c r="C175" s="236"/>
      <c r="D175" s="236"/>
      <c r="E175" s="236"/>
      <c r="F175" s="236"/>
      <c r="G175" s="236"/>
      <c r="H175" s="10"/>
      <c r="I175" s="65"/>
      <c r="J175" s="10"/>
      <c r="K175" s="13"/>
    </row>
    <row r="176" spans="2:11" ht="14.25">
      <c r="B176" s="170"/>
      <c r="C176" s="227"/>
      <c r="D176" s="32"/>
      <c r="E176" s="32"/>
      <c r="F176" s="10"/>
      <c r="G176" s="10"/>
      <c r="H176" s="141"/>
      <c r="I176" s="65"/>
      <c r="J176" s="10"/>
      <c r="K176" s="13"/>
    </row>
    <row r="177" spans="2:5" ht="14.25">
      <c r="B177" s="170"/>
      <c r="C177" s="227"/>
      <c r="D177" s="33"/>
      <c r="E177" s="33"/>
    </row>
    <row r="178" spans="2:7" ht="14.25">
      <c r="B178" s="170"/>
      <c r="C178" s="234"/>
      <c r="D178" s="32"/>
      <c r="E178" s="32"/>
      <c r="F178" s="10"/>
      <c r="G178" s="10"/>
    </row>
    <row r="179" spans="2:7" ht="14.25">
      <c r="B179" s="170"/>
      <c r="C179" s="55"/>
      <c r="D179" s="55"/>
      <c r="E179" s="55"/>
      <c r="F179" s="55"/>
      <c r="G179" s="55"/>
    </row>
    <row r="180" spans="2:5" ht="14.25">
      <c r="B180" s="170"/>
      <c r="C180" s="227"/>
      <c r="D180" s="33"/>
      <c r="E180" s="33"/>
    </row>
    <row r="181" spans="2:5" ht="14.25">
      <c r="B181" s="170"/>
      <c r="C181" s="227"/>
      <c r="D181" s="33"/>
      <c r="E181" s="33"/>
    </row>
    <row r="182" spans="2:5" ht="14.25">
      <c r="B182" s="170"/>
      <c r="C182" s="227"/>
      <c r="D182" s="33"/>
      <c r="E182" s="33"/>
    </row>
    <row r="183" spans="2:5" ht="14.25">
      <c r="B183" s="170"/>
      <c r="C183" s="227"/>
      <c r="D183" s="33"/>
      <c r="E183" s="33"/>
    </row>
    <row r="184" spans="2:5" ht="14.25">
      <c r="B184" s="170"/>
      <c r="C184" s="227"/>
      <c r="D184" s="33"/>
      <c r="E184" s="33"/>
    </row>
    <row r="185" spans="2:5" ht="14.25">
      <c r="B185" s="170"/>
      <c r="C185" s="227"/>
      <c r="D185" s="33"/>
      <c r="E185" s="33"/>
    </row>
    <row r="186" spans="2:5" ht="14.25">
      <c r="B186" s="170"/>
      <c r="C186" s="227"/>
      <c r="D186" s="33"/>
      <c r="E186" s="33"/>
    </row>
    <row r="187" spans="2:5" ht="14.25">
      <c r="B187" s="170"/>
      <c r="C187" s="227"/>
      <c r="D187" s="33"/>
      <c r="E187" s="33"/>
    </row>
    <row r="188" spans="2:5" ht="14.25">
      <c r="B188" s="170"/>
      <c r="C188" s="227"/>
      <c r="D188" s="33"/>
      <c r="E188" s="33"/>
    </row>
    <row r="189" spans="2:5" ht="14.25">
      <c r="B189" s="170"/>
      <c r="C189" s="227"/>
      <c r="D189" s="33"/>
      <c r="E189" s="33"/>
    </row>
    <row r="190" spans="2:5" ht="14.25">
      <c r="B190" s="170"/>
      <c r="C190" s="227"/>
      <c r="D190" s="33"/>
      <c r="E190" s="33"/>
    </row>
    <row r="191" spans="2:5" ht="14.25">
      <c r="B191" s="170"/>
      <c r="C191" s="227"/>
      <c r="D191" s="33"/>
      <c r="E191" s="33"/>
    </row>
    <row r="192" spans="2:5" ht="14.25">
      <c r="B192" s="170"/>
      <c r="C192" s="227"/>
      <c r="D192" s="33"/>
      <c r="E192" s="33"/>
    </row>
    <row r="193" spans="2:5" ht="14.25">
      <c r="B193" s="170"/>
      <c r="C193" s="227"/>
      <c r="D193" s="33"/>
      <c r="E193" s="33"/>
    </row>
    <row r="194" spans="4:5" ht="14.25">
      <c r="D194" s="33"/>
      <c r="E194" s="33"/>
    </row>
    <row r="195" spans="4:5" ht="14.25">
      <c r="D195" s="33"/>
      <c r="E195" s="33"/>
    </row>
    <row r="196" spans="4:5" ht="14.25">
      <c r="D196" s="33"/>
      <c r="E196" s="33"/>
    </row>
    <row r="197" spans="4:5" ht="14.25">
      <c r="D197" s="33"/>
      <c r="E197" s="33"/>
    </row>
    <row r="198" spans="4:5" ht="14.25">
      <c r="D198" s="33"/>
      <c r="E198" s="33"/>
    </row>
    <row r="199" spans="4:5" ht="14.25">
      <c r="D199" s="33"/>
      <c r="E199" s="33"/>
    </row>
    <row r="200" spans="4:5" ht="14.25">
      <c r="D200" s="33"/>
      <c r="E200" s="33"/>
    </row>
    <row r="201" spans="4:5" ht="14.25">
      <c r="D201" s="33"/>
      <c r="E201" s="33"/>
    </row>
    <row r="202" spans="4:5" ht="14.25">
      <c r="D202" s="33"/>
      <c r="E202" s="33"/>
    </row>
    <row r="203" spans="4:5" ht="14.25">
      <c r="D203" s="33"/>
      <c r="E203" s="33"/>
    </row>
    <row r="204" spans="4:5" ht="14.25">
      <c r="D204" s="33"/>
      <c r="E204" s="33"/>
    </row>
    <row r="205" spans="4:5" ht="14.25">
      <c r="D205" s="33"/>
      <c r="E205" s="33"/>
    </row>
    <row r="206" spans="4:5" ht="14.25">
      <c r="D206" s="33"/>
      <c r="E206" s="33"/>
    </row>
    <row r="207" spans="4:5" ht="14.25">
      <c r="D207" s="33"/>
      <c r="E207" s="33"/>
    </row>
    <row r="208" spans="4:5" ht="14.25">
      <c r="D208" s="33"/>
      <c r="E208" s="33"/>
    </row>
    <row r="209" spans="4:5" ht="14.25">
      <c r="D209" s="33"/>
      <c r="E209" s="33"/>
    </row>
    <row r="210" spans="4:5" ht="14.25">
      <c r="D210" s="33"/>
      <c r="E210" s="33"/>
    </row>
    <row r="211" spans="4:5" ht="14.25">
      <c r="D211" s="33"/>
      <c r="E211" s="33"/>
    </row>
    <row r="212" spans="4:5" ht="14.25">
      <c r="D212" s="33"/>
      <c r="E212" s="33"/>
    </row>
    <row r="213" spans="4:5" ht="14.25">
      <c r="D213" s="33"/>
      <c r="E213" s="33"/>
    </row>
    <row r="214" spans="4:5" ht="14.25">
      <c r="D214" s="33"/>
      <c r="E214" s="33"/>
    </row>
    <row r="215" spans="4:5" ht="14.25">
      <c r="D215" s="33"/>
      <c r="E215" s="33"/>
    </row>
    <row r="216" spans="4:5" ht="14.25">
      <c r="D216" s="33"/>
      <c r="E216" s="33"/>
    </row>
    <row r="217" spans="4:5" ht="14.25">
      <c r="D217" s="33"/>
      <c r="E217" s="33"/>
    </row>
    <row r="218" spans="4:5" ht="14.25">
      <c r="D218" s="33"/>
      <c r="E218" s="33"/>
    </row>
    <row r="219" spans="4:5" ht="14.25">
      <c r="D219" s="33"/>
      <c r="E219" s="33"/>
    </row>
    <row r="220" spans="4:5" ht="14.25">
      <c r="D220" s="33"/>
      <c r="E220" s="33"/>
    </row>
    <row r="221" spans="4:5" ht="14.25">
      <c r="D221" s="33"/>
      <c r="E221" s="33"/>
    </row>
    <row r="222" spans="4:5" ht="14.25">
      <c r="D222" s="33"/>
      <c r="E222" s="33"/>
    </row>
    <row r="223" spans="4:5" ht="14.25">
      <c r="D223" s="33"/>
      <c r="E223" s="33"/>
    </row>
    <row r="224" spans="4:5" ht="14.25">
      <c r="D224" s="33"/>
      <c r="E224" s="33"/>
    </row>
    <row r="225" spans="4:5" ht="14.25">
      <c r="D225" s="33"/>
      <c r="E225" s="33"/>
    </row>
    <row r="226" spans="4:5" ht="14.25">
      <c r="D226" s="33"/>
      <c r="E226" s="33"/>
    </row>
    <row r="227" spans="4:5" ht="14.25">
      <c r="D227" s="33"/>
      <c r="E227" s="33"/>
    </row>
    <row r="228" spans="4:5" ht="14.25">
      <c r="D228" s="33"/>
      <c r="E228" s="33"/>
    </row>
    <row r="229" spans="2:5" ht="14.25">
      <c r="B229" s="10"/>
      <c r="D229" s="33"/>
      <c r="E229" s="33"/>
    </row>
    <row r="230" spans="2:5" ht="14.25">
      <c r="B230" s="10"/>
      <c r="D230" s="33"/>
      <c r="E230" s="33"/>
    </row>
    <row r="231" spans="2:5" ht="14.25">
      <c r="B231" s="77" t="s">
        <v>380</v>
      </c>
      <c r="D231" s="33"/>
      <c r="E231" s="33"/>
    </row>
    <row r="232" spans="2:5" ht="14.25">
      <c r="B232" s="82" t="s">
        <v>378</v>
      </c>
      <c r="D232" s="33"/>
      <c r="E232" s="33"/>
    </row>
    <row r="233" spans="2:5" ht="14.25">
      <c r="B233" s="82" t="s">
        <v>338</v>
      </c>
      <c r="D233" s="33"/>
      <c r="E233" s="33"/>
    </row>
    <row r="234" spans="2:5" ht="14.25">
      <c r="B234" s="82" t="s">
        <v>379</v>
      </c>
      <c r="D234" s="33"/>
      <c r="E234" s="33"/>
    </row>
    <row r="235" spans="2:5" ht="14.25">
      <c r="B235"/>
      <c r="D235" s="33"/>
      <c r="E235" s="33"/>
    </row>
    <row r="236" spans="2:5" ht="14.25">
      <c r="B236" s="77" t="s">
        <v>380</v>
      </c>
      <c r="D236" s="33"/>
      <c r="E236" s="33"/>
    </row>
    <row r="237" spans="2:5" ht="14.25">
      <c r="B237" s="65">
        <v>0</v>
      </c>
      <c r="D237" s="33"/>
      <c r="E237" s="33"/>
    </row>
    <row r="238" spans="2:5" ht="14.25">
      <c r="B238" s="65">
        <v>0.01</v>
      </c>
      <c r="D238" s="33"/>
      <c r="E238" s="33"/>
    </row>
    <row r="239" spans="2:5" ht="14.25">
      <c r="B239" s="65">
        <v>0.02</v>
      </c>
      <c r="D239" s="33"/>
      <c r="E239" s="33"/>
    </row>
    <row r="240" spans="2:5" ht="14.25">
      <c r="B240" s="65">
        <v>0.03</v>
      </c>
      <c r="D240" s="33"/>
      <c r="E240" s="33"/>
    </row>
    <row r="241" spans="2:5" ht="14.25">
      <c r="B241" s="65">
        <v>0.04</v>
      </c>
      <c r="D241" s="33"/>
      <c r="E241" s="33"/>
    </row>
    <row r="242" spans="2:5" ht="14.25">
      <c r="B242" s="129">
        <v>0.05</v>
      </c>
      <c r="D242" s="33"/>
      <c r="E242" s="33"/>
    </row>
    <row r="243" ht="14.25">
      <c r="B243" s="129">
        <v>0.06</v>
      </c>
    </row>
    <row r="244" ht="14.25">
      <c r="B244" s="65">
        <v>0.07</v>
      </c>
    </row>
    <row r="245" ht="14.25">
      <c r="B245" s="65">
        <v>0.08</v>
      </c>
    </row>
    <row r="246" ht="14.25">
      <c r="B246" s="65">
        <v>0.09</v>
      </c>
    </row>
    <row r="247" ht="14.25">
      <c r="B247" s="65">
        <v>0.1</v>
      </c>
    </row>
    <row r="248" ht="14.25">
      <c r="B248" s="65">
        <v>0.11</v>
      </c>
    </row>
    <row r="249" ht="14.25">
      <c r="B249" s="129">
        <v>0.12</v>
      </c>
    </row>
    <row r="250" ht="14.25">
      <c r="B250" s="65">
        <v>0.13</v>
      </c>
    </row>
    <row r="251" ht="14.25">
      <c r="B251" s="65">
        <v>0.14</v>
      </c>
    </row>
    <row r="252" ht="14.25">
      <c r="B252" s="129">
        <v>0.15</v>
      </c>
    </row>
    <row r="253" ht="14.25">
      <c r="B253"/>
    </row>
  </sheetData>
  <sheetProtection/>
  <mergeCells count="2">
    <mergeCell ref="K10:K12"/>
    <mergeCell ref="K109:K111"/>
  </mergeCells>
  <dataValidations count="1">
    <dataValidation type="list" allowBlank="1" showInputMessage="1" showErrorMessage="1" sqref="C8:F8">
      <formula1>$B$237:$B$252</formula1>
    </dataValidation>
  </dataValidations>
  <printOptions horizontalCentered="1"/>
  <pageMargins left="0.2362204724409449" right="0.2362204724409449" top="0.2362204724409449" bottom="0.5118110236220472" header="0" footer="0.2362204724409449"/>
  <pageSetup fitToHeight="2" fitToWidth="1" horizontalDpi="600" verticalDpi="600" orientation="portrait" paperSize="9" scale="41" r:id="rId2"/>
  <headerFooter alignWithMargins="0">
    <oddFooter>&amp;R&amp;8Page &amp;P of &amp;N
Rev: 04/15/05</oddFooter>
  </headerFooter>
  <rowBreaks count="5" manualBreakCount="5">
    <brk id="27" max="9" man="1"/>
    <brk id="66" max="9" man="1"/>
    <brk id="84" max="9" man="1"/>
    <brk id="108" max="9" man="1"/>
    <brk id="150" max="9" man="1"/>
  </rowBreaks>
  <ignoredErrors>
    <ignoredError sqref="H170" unlockedFormula="1"/>
  </ignoredErrors>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M109"/>
  <sheetViews>
    <sheetView showGridLines="0" zoomScale="80" zoomScaleNormal="80" zoomScalePageLayoutView="0" workbookViewId="0" topLeftCell="A1">
      <selection activeCell="E28" sqref="E28"/>
    </sheetView>
  </sheetViews>
  <sheetFormatPr defaultColWidth="9.140625" defaultRowHeight="12.75"/>
  <cols>
    <col min="1" max="1" width="12.140625" style="0" customWidth="1"/>
    <col min="2" max="2" width="20.8515625" style="0" customWidth="1"/>
    <col min="3" max="3" width="73.421875" style="149" customWidth="1"/>
    <col min="4" max="4" width="17.7109375" style="149" customWidth="1"/>
    <col min="5" max="5" width="18.28125" style="0" customWidth="1"/>
    <col min="6" max="6" width="17.00390625" style="0" customWidth="1"/>
  </cols>
  <sheetData>
    <row r="1" ht="9.75" customHeight="1">
      <c r="A1" s="87" t="str">
        <f>'[2]Instructions'!A1</f>
        <v>version 02.07.06</v>
      </c>
    </row>
    <row r="2" ht="12.75"/>
    <row r="3" ht="12.75"/>
    <row r="4" ht="18">
      <c r="A4" s="108" t="str">
        <f>C21</f>
        <v>UNDP</v>
      </c>
    </row>
    <row r="5" spans="1:6" ht="18">
      <c r="A5" s="108" t="str">
        <f>C22</f>
        <v>Expansion of Successful Poverty Reduction and Women’s Empowerment Model in West Africa. Project Number 45498</v>
      </c>
      <c r="E5" s="109"/>
      <c r="F5" s="110"/>
    </row>
    <row r="6" spans="1:6" ht="18">
      <c r="A6" s="88"/>
      <c r="D6" s="89" t="s">
        <v>285</v>
      </c>
      <c r="E6" s="198" t="s">
        <v>225</v>
      </c>
      <c r="F6" s="91"/>
    </row>
    <row r="7" spans="1:6" ht="9" customHeight="1" thickBot="1">
      <c r="A7" s="88"/>
      <c r="E7" s="90"/>
      <c r="F7" s="91"/>
    </row>
    <row r="8" spans="1:6" s="92" customFormat="1" ht="30" customHeight="1" hidden="1">
      <c r="A8" s="146" t="s">
        <v>263</v>
      </c>
      <c r="B8" s="147"/>
      <c r="C8" s="147"/>
      <c r="D8" s="147"/>
      <c r="E8" s="147"/>
      <c r="F8" s="147"/>
    </row>
    <row r="9" spans="1:13" ht="113.25" hidden="1" thickBot="1">
      <c r="A9" s="191" t="s">
        <v>441</v>
      </c>
      <c r="B9" t="s">
        <v>286</v>
      </c>
      <c r="C9" s="150" t="s">
        <v>353</v>
      </c>
      <c r="D9" s="150"/>
      <c r="E9" s="112"/>
      <c r="F9" s="113"/>
      <c r="I9" s="192" t="s">
        <v>442</v>
      </c>
      <c r="J9" s="143"/>
      <c r="K9" s="143"/>
      <c r="L9" s="143"/>
      <c r="M9" s="143"/>
    </row>
    <row r="10" spans="2:6" ht="13.5" hidden="1" thickBot="1">
      <c r="B10" t="s">
        <v>287</v>
      </c>
      <c r="C10" s="150" t="s">
        <v>288</v>
      </c>
      <c r="D10" s="150"/>
      <c r="E10" s="112"/>
      <c r="F10" s="113"/>
    </row>
    <row r="11" spans="2:6" ht="13.5" hidden="1" thickBot="1">
      <c r="B11" t="s">
        <v>289</v>
      </c>
      <c r="C11" s="150" t="s">
        <v>290</v>
      </c>
      <c r="D11" s="150"/>
      <c r="E11" s="112" t="s">
        <v>291</v>
      </c>
      <c r="F11" s="113"/>
    </row>
    <row r="12" spans="2:6" ht="13.5" hidden="1" thickBot="1">
      <c r="B12" t="s">
        <v>292</v>
      </c>
      <c r="C12" s="150" t="s">
        <v>293</v>
      </c>
      <c r="D12" s="150"/>
      <c r="E12" s="112" t="s">
        <v>291</v>
      </c>
      <c r="F12" s="113"/>
    </row>
    <row r="13" spans="2:6" ht="13.5" hidden="1" thickBot="1">
      <c r="B13" t="s">
        <v>294</v>
      </c>
      <c r="C13" s="150" t="s">
        <v>296</v>
      </c>
      <c r="D13" s="150"/>
      <c r="E13" s="112" t="s">
        <v>291</v>
      </c>
      <c r="F13" s="113"/>
    </row>
    <row r="14" spans="2:6" ht="13.5" hidden="1" thickBot="1">
      <c r="B14" t="s">
        <v>297</v>
      </c>
      <c r="C14" s="150" t="s">
        <v>298</v>
      </c>
      <c r="D14" s="150"/>
      <c r="E14" s="112" t="s">
        <v>291</v>
      </c>
      <c r="F14" s="113"/>
    </row>
    <row r="15" spans="2:6" ht="13.5" hidden="1" thickBot="1">
      <c r="B15" t="s">
        <v>299</v>
      </c>
      <c r="C15" s="150" t="s">
        <v>300</v>
      </c>
      <c r="D15" s="150"/>
      <c r="E15" s="112" t="s">
        <v>291</v>
      </c>
      <c r="F15" s="113"/>
    </row>
    <row r="16" spans="2:6" ht="13.5" hidden="1" thickBot="1">
      <c r="B16" t="s">
        <v>301</v>
      </c>
      <c r="C16" s="150" t="s">
        <v>302</v>
      </c>
      <c r="D16" s="150"/>
      <c r="E16" s="112" t="s">
        <v>291</v>
      </c>
      <c r="F16" s="113"/>
    </row>
    <row r="17" spans="1:6" ht="9.75" customHeight="1" hidden="1" thickBot="1">
      <c r="A17" s="103"/>
      <c r="B17" s="103"/>
      <c r="C17" s="151"/>
      <c r="D17" s="151"/>
      <c r="E17" s="103"/>
      <c r="F17" s="103"/>
    </row>
    <row r="18" spans="1:6" ht="20.25">
      <c r="A18" s="148" t="s">
        <v>303</v>
      </c>
      <c r="B18" s="148"/>
      <c r="C18" s="152"/>
      <c r="D18" s="152"/>
      <c r="E18" s="148"/>
      <c r="F18" s="148"/>
    </row>
    <row r="19" spans="2:6" s="92" customFormat="1" ht="12.75" customHeight="1">
      <c r="B19" s="114"/>
      <c r="C19" s="131"/>
      <c r="D19" s="131"/>
      <c r="E19" s="115"/>
      <c r="F19" s="115"/>
    </row>
    <row r="20" spans="1:6" s="92" customFormat="1" ht="12.75" customHeight="1">
      <c r="A20" s="101" t="s">
        <v>304</v>
      </c>
      <c r="B20" s="114"/>
      <c r="C20" s="131"/>
      <c r="D20" s="140"/>
      <c r="E20" s="115"/>
      <c r="F20" s="115"/>
    </row>
    <row r="21" spans="2:4" ht="12.75">
      <c r="B21" s="89" t="s">
        <v>305</v>
      </c>
      <c r="C21" s="184" t="s">
        <v>225</v>
      </c>
      <c r="D21" s="153"/>
    </row>
    <row r="22" spans="2:10" ht="27.75" customHeight="1">
      <c r="B22" s="89" t="s">
        <v>337</v>
      </c>
      <c r="C22" s="184" t="s">
        <v>386</v>
      </c>
      <c r="D22" s="153"/>
      <c r="F22" s="100"/>
      <c r="G22" s="100"/>
      <c r="H22" s="100"/>
      <c r="I22" s="100"/>
      <c r="J22" s="100"/>
    </row>
    <row r="23" spans="2:10" s="102" customFormat="1" ht="14.25">
      <c r="B23" s="116"/>
      <c r="C23" s="153"/>
      <c r="D23" s="153"/>
      <c r="F23" s="117"/>
      <c r="G23" s="117"/>
      <c r="H23" s="117"/>
      <c r="I23" s="117"/>
      <c r="J23" s="117"/>
    </row>
    <row r="24" spans="1:10" ht="15">
      <c r="A24" s="101" t="s">
        <v>306</v>
      </c>
      <c r="B24" s="89"/>
      <c r="C24" s="153"/>
      <c r="D24" s="153"/>
      <c r="F24" s="100"/>
      <c r="G24" s="100"/>
      <c r="H24" s="100"/>
      <c r="I24" s="100"/>
      <c r="J24" s="100"/>
    </row>
    <row r="25" spans="2:6" ht="25.5">
      <c r="B25" s="89" t="s">
        <v>307</v>
      </c>
      <c r="C25" s="165" t="s">
        <v>381</v>
      </c>
      <c r="D25" s="166"/>
      <c r="E25" s="99"/>
      <c r="F25" s="99"/>
    </row>
    <row r="26" spans="2:6" ht="25.5">
      <c r="B26" s="89" t="s">
        <v>309</v>
      </c>
      <c r="C26" s="165" t="s">
        <v>382</v>
      </c>
      <c r="D26" s="166"/>
      <c r="E26" s="99"/>
      <c r="F26" s="99"/>
    </row>
    <row r="27" spans="2:6" ht="25.5">
      <c r="B27" s="89" t="s">
        <v>311</v>
      </c>
      <c r="C27" s="165" t="s">
        <v>241</v>
      </c>
      <c r="D27" s="166"/>
      <c r="E27" s="99"/>
      <c r="F27" s="99"/>
    </row>
    <row r="28" spans="2:6" ht="25.5">
      <c r="B28" s="89" t="s">
        <v>313</v>
      </c>
      <c r="C28" s="165" t="s">
        <v>383</v>
      </c>
      <c r="D28" s="166"/>
      <c r="E28" s="99"/>
      <c r="F28" s="99"/>
    </row>
    <row r="29" spans="2:6" ht="25.5">
      <c r="B29" s="89" t="s">
        <v>315</v>
      </c>
      <c r="C29" s="165" t="s">
        <v>384</v>
      </c>
      <c r="D29" s="166"/>
      <c r="E29" s="131"/>
      <c r="F29" s="131"/>
    </row>
    <row r="30" spans="2:6" ht="38.25">
      <c r="B30" s="89" t="s">
        <v>207</v>
      </c>
      <c r="C30" s="165" t="s">
        <v>242</v>
      </c>
      <c r="D30" s="166"/>
      <c r="E30" s="99"/>
      <c r="F30" s="99"/>
    </row>
    <row r="31" spans="2:6" ht="25.5">
      <c r="B31" s="89" t="s">
        <v>208</v>
      </c>
      <c r="C31" s="165" t="s">
        <v>463</v>
      </c>
      <c r="D31" s="166"/>
      <c r="E31" s="99"/>
      <c r="F31" s="99"/>
    </row>
    <row r="32" spans="2:6" ht="12.75">
      <c r="B32" s="89" t="s">
        <v>209</v>
      </c>
      <c r="C32" s="361" t="s">
        <v>188</v>
      </c>
      <c r="D32" s="166"/>
      <c r="E32" s="99"/>
      <c r="F32" s="99"/>
    </row>
    <row r="33" spans="2:6" ht="38.25">
      <c r="B33" s="89" t="s">
        <v>210</v>
      </c>
      <c r="C33" s="361" t="s">
        <v>385</v>
      </c>
      <c r="D33" s="166"/>
      <c r="E33" s="99"/>
      <c r="F33" s="99"/>
    </row>
    <row r="34" spans="2:6" ht="25.5">
      <c r="B34" s="89" t="s">
        <v>211</v>
      </c>
      <c r="C34" s="361" t="s">
        <v>189</v>
      </c>
      <c r="D34" s="166"/>
      <c r="E34" s="99"/>
      <c r="F34" s="99"/>
    </row>
    <row r="35" spans="2:6" ht="25.5">
      <c r="B35" s="89" t="s">
        <v>212</v>
      </c>
      <c r="C35" s="361" t="s">
        <v>190</v>
      </c>
      <c r="D35" s="166"/>
      <c r="E35" s="99"/>
      <c r="F35" s="99"/>
    </row>
    <row r="36" spans="2:6" ht="38.25">
      <c r="B36" s="89" t="s">
        <v>213</v>
      </c>
      <c r="C36" s="361" t="s">
        <v>322</v>
      </c>
      <c r="D36" s="166"/>
      <c r="E36" s="99"/>
      <c r="F36" s="99"/>
    </row>
    <row r="37" spans="2:6" ht="63.75">
      <c r="B37" s="89" t="s">
        <v>214</v>
      </c>
      <c r="C37" s="361" t="s">
        <v>135</v>
      </c>
      <c r="D37" s="166"/>
      <c r="E37" s="131"/>
      <c r="F37" s="131"/>
    </row>
    <row r="38" spans="2:6" ht="38.25">
      <c r="B38" s="89" t="s">
        <v>215</v>
      </c>
      <c r="C38" s="361" t="s">
        <v>191</v>
      </c>
      <c r="D38" s="166"/>
      <c r="E38" s="131"/>
      <c r="F38" s="131"/>
    </row>
    <row r="39" spans="2:8" ht="38.25">
      <c r="B39" s="89" t="s">
        <v>216</v>
      </c>
      <c r="C39" s="183" t="s">
        <v>192</v>
      </c>
      <c r="D39" s="167"/>
      <c r="E39" s="140"/>
      <c r="F39" s="140"/>
      <c r="G39" s="128"/>
      <c r="H39" s="128"/>
    </row>
    <row r="40" spans="2:3" s="102" customFormat="1" ht="24" customHeight="1">
      <c r="B40" s="116"/>
      <c r="C40" s="154"/>
    </row>
    <row r="41" spans="1:5" ht="15">
      <c r="A41" s="101" t="s">
        <v>243</v>
      </c>
      <c r="C41" s="155" t="s">
        <v>244</v>
      </c>
      <c r="D41" s="118" t="s">
        <v>245</v>
      </c>
      <c r="E41" s="103" t="s">
        <v>246</v>
      </c>
    </row>
    <row r="42" spans="2:5" ht="12.75">
      <c r="B42" t="s">
        <v>247</v>
      </c>
      <c r="C42" s="156">
        <v>39264</v>
      </c>
      <c r="D42" s="119">
        <v>39629</v>
      </c>
      <c r="E42" s="120">
        <f>ROUND(DAYS360(C42,D42)/30,0)</f>
        <v>12</v>
      </c>
    </row>
    <row r="43" spans="2:5" ht="12.75">
      <c r="B43" t="s">
        <v>248</v>
      </c>
      <c r="C43" s="156">
        <v>39630</v>
      </c>
      <c r="D43" s="119">
        <v>39994</v>
      </c>
      <c r="E43" s="120">
        <f>ROUND(DAYS360(C43,D43)/30,0)</f>
        <v>12</v>
      </c>
    </row>
    <row r="44" spans="2:5" ht="12.75">
      <c r="B44" t="s">
        <v>249</v>
      </c>
      <c r="C44" s="156">
        <v>39995</v>
      </c>
      <c r="D44" s="119">
        <v>40359</v>
      </c>
      <c r="E44" s="120">
        <f>ROUND(DAYS360(C44,D44)/30,0)</f>
        <v>12</v>
      </c>
    </row>
    <row r="45" spans="2:5" ht="12.75">
      <c r="B45" t="s">
        <v>166</v>
      </c>
      <c r="C45" s="156">
        <v>40360</v>
      </c>
      <c r="D45" s="119">
        <v>40724</v>
      </c>
      <c r="E45" s="120">
        <v>12</v>
      </c>
    </row>
    <row r="46" spans="2:5" ht="12.75">
      <c r="B46" t="s">
        <v>167</v>
      </c>
      <c r="C46" s="156">
        <v>40725</v>
      </c>
      <c r="D46" s="119">
        <v>41090</v>
      </c>
      <c r="E46" s="120">
        <v>12</v>
      </c>
    </row>
    <row r="47" spans="3:5" s="102" customFormat="1" ht="13.5" customHeight="1">
      <c r="C47" s="157"/>
      <c r="D47" s="121"/>
      <c r="E47" s="122"/>
    </row>
    <row r="48" spans="1:4" ht="15">
      <c r="A48" s="101" t="s">
        <v>250</v>
      </c>
      <c r="B48" s="89"/>
      <c r="C48" s="158"/>
      <c r="D48" s="123"/>
    </row>
    <row r="49" spans="2:4" ht="12.75">
      <c r="B49" s="89" t="s">
        <v>251</v>
      </c>
      <c r="C49" s="159">
        <v>0.03</v>
      </c>
      <c r="D49" s="145"/>
    </row>
    <row r="50" spans="2:4" ht="13.5" customHeight="1">
      <c r="B50" s="124" t="s">
        <v>252</v>
      </c>
      <c r="C50" s="160">
        <v>0.07</v>
      </c>
      <c r="D50" s="144"/>
    </row>
    <row r="51" spans="5:6" ht="12.75">
      <c r="E51" s="113"/>
      <c r="F51" s="113"/>
    </row>
    <row r="52" spans="1:6" ht="14.25" customHeight="1">
      <c r="A52" s="125"/>
      <c r="B52" s="125"/>
      <c r="C52" s="161"/>
      <c r="D52" s="161"/>
      <c r="E52" s="125"/>
      <c r="F52" s="125"/>
    </row>
    <row r="53" spans="1:6" ht="15">
      <c r="A53" s="126"/>
      <c r="B53" s="127"/>
      <c r="C53" s="162"/>
      <c r="D53" s="162"/>
      <c r="E53" s="91"/>
      <c r="F53" s="91"/>
    </row>
    <row r="54" spans="1:6" ht="12.75">
      <c r="A54" s="91"/>
      <c r="B54" s="127"/>
      <c r="C54" s="163"/>
      <c r="D54" s="163"/>
      <c r="E54" s="91"/>
      <c r="F54" s="91"/>
    </row>
    <row r="55" spans="1:6" ht="12.75">
      <c r="A55" s="91"/>
      <c r="B55" s="111"/>
      <c r="C55" s="153"/>
      <c r="D55" s="153"/>
      <c r="E55" s="91"/>
      <c r="F55" s="91"/>
    </row>
    <row r="56" spans="1:6" ht="12.75">
      <c r="A56" s="91"/>
      <c r="B56" s="111"/>
      <c r="C56" s="153"/>
      <c r="D56" s="153"/>
      <c r="E56" s="91"/>
      <c r="F56" s="91"/>
    </row>
    <row r="57" spans="1:6" ht="12.75">
      <c r="A57" s="91"/>
      <c r="B57" s="91"/>
      <c r="C57" s="162"/>
      <c r="D57" s="162"/>
      <c r="E57" s="91"/>
      <c r="F57" s="91"/>
    </row>
    <row r="91" spans="3:6" ht="12.75">
      <c r="C91" s="164" t="s">
        <v>253</v>
      </c>
      <c r="D91" s="164"/>
      <c r="E91" t="s">
        <v>254</v>
      </c>
      <c r="F91" t="s">
        <v>255</v>
      </c>
    </row>
    <row r="92" spans="3:6" ht="12.75">
      <c r="C92" s="149" t="s">
        <v>308</v>
      </c>
      <c r="E92" s="129">
        <v>0</v>
      </c>
      <c r="F92" s="129">
        <v>0</v>
      </c>
    </row>
    <row r="93" spans="3:6" ht="12.75">
      <c r="C93" s="149" t="s">
        <v>256</v>
      </c>
      <c r="E93" s="129">
        <v>0.01</v>
      </c>
      <c r="F93" s="129">
        <v>0.01</v>
      </c>
    </row>
    <row r="94" spans="3:6" ht="12.75">
      <c r="C94" s="149" t="s">
        <v>257</v>
      </c>
      <c r="E94" s="129">
        <v>0.02</v>
      </c>
      <c r="F94" s="129">
        <v>0.02</v>
      </c>
    </row>
    <row r="95" spans="3:6" ht="12.75">
      <c r="C95" s="149" t="s">
        <v>258</v>
      </c>
      <c r="E95" s="129">
        <v>0.03</v>
      </c>
      <c r="F95" s="129">
        <v>0.03</v>
      </c>
    </row>
    <row r="96" spans="3:5" ht="12.75">
      <c r="C96" s="149" t="s">
        <v>259</v>
      </c>
      <c r="E96" s="129">
        <v>0.04</v>
      </c>
    </row>
    <row r="97" spans="3:5" ht="12.75">
      <c r="C97" s="149" t="s">
        <v>260</v>
      </c>
      <c r="E97" s="129">
        <v>0.05</v>
      </c>
    </row>
    <row r="98" spans="3:5" ht="12.75">
      <c r="C98" s="149" t="s">
        <v>261</v>
      </c>
      <c r="E98" s="129">
        <v>0.06</v>
      </c>
    </row>
    <row r="99" spans="3:5" ht="12.75">
      <c r="C99" s="149" t="s">
        <v>338</v>
      </c>
      <c r="E99" s="129">
        <v>0.07</v>
      </c>
    </row>
    <row r="100" spans="3:5" ht="12.75">
      <c r="C100" s="149" t="s">
        <v>262</v>
      </c>
      <c r="E100" s="129">
        <v>0.08</v>
      </c>
    </row>
    <row r="101" spans="3:5" ht="12.75">
      <c r="C101" s="149" t="s">
        <v>310</v>
      </c>
      <c r="E101" s="129">
        <v>0.09</v>
      </c>
    </row>
    <row r="102" spans="3:5" ht="12.75">
      <c r="C102" s="149" t="s">
        <v>312</v>
      </c>
      <c r="E102" s="129">
        <v>0.1</v>
      </c>
    </row>
    <row r="103" ht="12.75">
      <c r="C103" s="149" t="s">
        <v>314</v>
      </c>
    </row>
    <row r="104" ht="12.75">
      <c r="C104" s="149" t="s">
        <v>316</v>
      </c>
    </row>
    <row r="105" ht="12.75">
      <c r="C105" s="149" t="s">
        <v>317</v>
      </c>
    </row>
    <row r="106" ht="12.75">
      <c r="C106" s="149" t="s">
        <v>318</v>
      </c>
    </row>
    <row r="107" ht="12.75">
      <c r="C107" s="149" t="s">
        <v>319</v>
      </c>
    </row>
    <row r="108" ht="12.75">
      <c r="C108" s="149" t="s">
        <v>320</v>
      </c>
    </row>
    <row r="109" ht="12.75">
      <c r="C109" s="149" t="s">
        <v>321</v>
      </c>
    </row>
  </sheetData>
  <sheetProtection/>
  <dataValidations count="21">
    <dataValidation allowBlank="1" showInputMessage="1" showErrorMessage="1" prompt="Please enter the end date of the fifth budget period here.  Please enter in the following format:&#10;&#10;mm/dd/yyyy" sqref="D47"/>
    <dataValidation allowBlank="1" showInputMessage="1" showErrorMessage="1" prompt="Please enter the end date for each of the budget periods in this column. Use this format:  mm/dd/yyyy" sqref="D41"/>
    <dataValidation allowBlank="1" showInputMessage="1" showErrorMessage="1" prompt="Enter number of schools that will open and number of students that will be supported by the end of the proposed grant period." sqref="C54:D54"/>
    <dataValidation allowBlank="1" showInputMessage="1" showErrorMessage="1" prompt="It is our policy to target grant funds to direct project costs and  limit the use of grant funds for indirect costs.&#10;&#10;If you want to include indirect costs, please discuss this with your foundation officer and choose the agreed upon rate to the right." sqref="B50"/>
    <dataValidation allowBlank="1" showInputMessage="1" showErrorMessage="1" prompt="Select an inflation factor if you want to automatically factor in annual cost increases. (It is not used for increases in salary and benefits.)&#10;&#10;3%  is the approximate 5 year average based on CPI-U data (Consumer Price Index for all Urban Consumers)." sqref="B49"/>
    <dataValidation allowBlank="1" showInputMessage="1" showErrorMessage="1" prompt="Select activities from the drop down menu list using the arrow on the right hand column.  " sqref="B48 B40"/>
    <dataValidation allowBlank="1" showInputMessage="1" showErrorMessage="1" prompt="Please enter the start date of the fifth budget period here.  Please enter in the following format:&#10;&#10;mm/dd/yyyy" sqref="C44:C46"/>
    <dataValidation allowBlank="1" showInputMessage="1" showErrorMessage="1" prompt="Please enter the start and end date of each budget period to the right.  Please use the following format:&#10;&#10;mm/dd/yyyy" sqref="B42:B47"/>
    <dataValidation allowBlank="1" showInputMessage="1" showErrorMessage="1" prompt="Please enter the start date for each of the budget periods in this column. Use this format:  mm/dd/yyyy" sqref="C41"/>
    <dataValidation type="list" allowBlank="1" showInputMessage="1" showErrorMessage="1" sqref="C40">
      <formula1>$C$92:$C$109</formula1>
    </dataValidation>
    <dataValidation type="list" allowBlank="1" showInputMessage="1" showErrorMessage="1" prompt="Choose from the options in the drop down box" sqref="C50:D50">
      <formula1>$E$92:$E$102</formula1>
    </dataValidation>
    <dataValidation type="list" allowBlank="1" showInputMessage="1" showErrorMessage="1" sqref="C49:D49">
      <formula1>$F$92:$F$95</formula1>
    </dataValidation>
    <dataValidation allowBlank="1" showInputMessage="1" showErrorMessage="1" prompt="Most grantees use only 4 Major Activities.  If you need more, identify them here, then unhide the relevant worksheets.  On the Excel toolbar, click Format, Sheet, Unhide." sqref="E37:F39 E29:F29"/>
    <dataValidation allowBlank="1" showInputMessage="1" showErrorMessage="1" prompt="Enter the preparer's name in the yellow cell to the right." sqref="D6"/>
    <dataValidation allowBlank="1" showInputMessage="1" showErrorMessage="1" prompt="Cost for researchers to gather data. " sqref="C20:D20"/>
    <dataValidation allowBlank="1" showInputMessage="1" showErrorMessage="1" prompt="Use this option only if none of the major activities are appropriate for your project." sqref="C19:D19"/>
    <dataValidation allowBlank="1" showInputMessage="1" showErrorMessage="1" prompt="Click on the yellow cell to the right.  Then click on the drop-down arrow.  Select activities from the drop-down menu list.  Activity 1 initially defaults to Project Administration but you can change that as needed." sqref="B34 B25 B30"/>
    <dataValidation allowBlank="1" showInputMessage="1" showErrorMessage="1" prompt="Enter the name of your organization in the yellow cell to the right." sqref="B21"/>
    <dataValidation allowBlank="1" showInputMessage="1" showErrorMessage="1" prompt="Click on the yellow cell to the right.  Click the drop-down arrow.  Select an activity from the drop down menu list." sqref="B31:B33 B26:B29 B35:B39"/>
    <dataValidation allowBlank="1" showInputMessage="1" showErrorMessage="1" prompt="The information you enter in this section will be used used in multiple locations throughout the spreadsheet.  The information can be changed here at anytime and the updates will flow to the appropriate locations." sqref="A18"/>
    <dataValidation allowBlank="1" showInputMessage="1" showErrorMessage="1" prompt="Enter your Project Title in the yellow cell to the right." sqref="B22"/>
  </dataValidations>
  <printOptions horizontalCentered="1"/>
  <pageMargins left="0.25" right="0.25" top="0.25" bottom="0.5" header="0" footer="0.25"/>
  <pageSetup fitToHeight="1" fitToWidth="1" horizontalDpi="600" verticalDpi="600" orientation="landscape" paperSize="9" scale="59"/>
  <headerFooter alignWithMargins="0">
    <oddFooter>&amp;R&amp;8Page &amp;P of &amp;N
Rev: 04/15/05</oddFooter>
  </headerFooter>
  <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E61"/>
  <sheetViews>
    <sheetView showGridLines="0" view="pageBreakPreview" zoomScale="125" zoomScaleNormal="85" zoomScaleSheetLayoutView="125" zoomScalePageLayoutView="0" workbookViewId="0" topLeftCell="A25">
      <selection activeCell="D29" sqref="D29"/>
    </sheetView>
  </sheetViews>
  <sheetFormatPr defaultColWidth="9.140625" defaultRowHeight="12.75"/>
  <cols>
    <col min="1" max="1" width="21.421875" style="0" customWidth="1"/>
    <col min="2" max="2" width="47.7109375" style="0" customWidth="1"/>
    <col min="3" max="3" width="17.8515625" style="0" customWidth="1"/>
    <col min="4" max="4" width="32.00390625" style="0" customWidth="1"/>
  </cols>
  <sheetData>
    <row r="1" s="1" customFormat="1" ht="18">
      <c r="A1" s="9" t="s">
        <v>165</v>
      </c>
    </row>
    <row r="2" spans="1:3" s="1" customFormat="1" ht="23.25" customHeight="1">
      <c r="A2" s="333" t="s">
        <v>363</v>
      </c>
      <c r="B2" s="334" t="s">
        <v>225</v>
      </c>
      <c r="C2" s="334"/>
    </row>
    <row r="3" spans="1:3" s="1" customFormat="1" ht="23.25" customHeight="1">
      <c r="A3" s="335" t="s">
        <v>364</v>
      </c>
      <c r="B3" s="336" t="s">
        <v>387</v>
      </c>
      <c r="C3" s="336"/>
    </row>
    <row r="4" spans="1:5" s="1" customFormat="1" ht="38.25" customHeight="1">
      <c r="A4" s="352" t="s">
        <v>193</v>
      </c>
      <c r="B4" s="380" t="s">
        <v>159</v>
      </c>
      <c r="C4" s="380"/>
      <c r="D4" s="380"/>
      <c r="E4" s="380"/>
    </row>
    <row r="5" spans="1:5" s="1" customFormat="1" ht="51" customHeight="1">
      <c r="A5" s="352" t="s">
        <v>206</v>
      </c>
      <c r="B5" s="380" t="s">
        <v>388</v>
      </c>
      <c r="C5" s="380"/>
      <c r="D5" s="380"/>
      <c r="E5" s="380"/>
    </row>
    <row r="6" spans="1:5" s="1" customFormat="1" ht="31.5" customHeight="1" thickBot="1">
      <c r="A6" s="353" t="s">
        <v>168</v>
      </c>
      <c r="B6" s="382" t="s">
        <v>170</v>
      </c>
      <c r="C6" s="382"/>
      <c r="D6" s="382"/>
      <c r="E6" s="382"/>
    </row>
    <row r="7" spans="1:3" ht="12" customHeight="1">
      <c r="A7" s="337"/>
      <c r="B7" s="338"/>
      <c r="C7" s="337"/>
    </row>
    <row r="8" spans="1:4" ht="12.75">
      <c r="A8" s="327"/>
      <c r="B8" s="339" t="s">
        <v>435</v>
      </c>
      <c r="C8" s="327" t="s">
        <v>203</v>
      </c>
      <c r="D8" s="328" t="s">
        <v>145</v>
      </c>
    </row>
    <row r="9" spans="1:3" ht="40.5" customHeight="1">
      <c r="A9" s="379" t="s">
        <v>390</v>
      </c>
      <c r="B9" s="379"/>
      <c r="C9" s="340"/>
    </row>
    <row r="10" spans="1:4" ht="36">
      <c r="A10" s="341">
        <v>1</v>
      </c>
      <c r="B10" s="342" t="str">
        <f>'Basic Info'!C25</f>
        <v>Conduct village-level feasibility studies for enterprise formation, including business and financing plans and gender analyzes for each village</v>
      </c>
      <c r="C10" s="343">
        <f>'Major Activity 1'!G45</f>
        <v>1363800</v>
      </c>
      <c r="D10" s="381" t="s">
        <v>144</v>
      </c>
    </row>
    <row r="11" spans="1:4" ht="36">
      <c r="A11" s="341">
        <v>2</v>
      </c>
      <c r="B11" s="342" t="str">
        <f>'Basic Info'!C26</f>
        <v>Create the enabling conditions for the MFP-based enterprises by training women’s groups and artisan networks and ensuring gender sensitive training</v>
      </c>
      <c r="C11" s="344">
        <f>'Major Activity 2'!G38</f>
        <v>1913500</v>
      </c>
      <c r="D11" s="381"/>
    </row>
    <row r="12" spans="1:4" ht="24">
      <c r="A12" s="341">
        <v>3</v>
      </c>
      <c r="B12" s="342" t="str">
        <f>'Basic Info'!C27</f>
        <v>Install multifunctional platforms including depots for spare parts and equipment for artisans </v>
      </c>
      <c r="C12" s="344">
        <f>'Major Activity 3'!G46</f>
        <v>4392000</v>
      </c>
      <c r="D12" s="381"/>
    </row>
    <row r="13" spans="1:4" ht="27.75" customHeight="1">
      <c r="A13" s="345">
        <v>4</v>
      </c>
      <c r="B13" s="346" t="str">
        <f>'Basic Info'!C28</f>
        <v>Conduct village-level monitoring and evaluation, including data gathering for detailed thematic assessments and gender analysis</v>
      </c>
      <c r="C13" s="347">
        <f>'Major Activity 4'!G53</f>
        <v>2669750</v>
      </c>
      <c r="D13" s="381"/>
    </row>
    <row r="14" spans="1:4" s="91" customFormat="1" ht="56.25" customHeight="1">
      <c r="A14" s="379" t="s">
        <v>389</v>
      </c>
      <c r="B14" s="379"/>
      <c r="C14" s="340"/>
      <c r="D14" s="332"/>
    </row>
    <row r="15" spans="1:4" ht="38.25" customHeight="1">
      <c r="A15" s="348">
        <v>5</v>
      </c>
      <c r="B15" s="349" t="str">
        <f>'Basic Info'!C29</f>
        <v>Strengthen the capacity of national program teams and local partners on all aspects of MFP planning and  implementation, including gender analysis</v>
      </c>
      <c r="C15" s="350">
        <f>'Major Activity 5'!G41</f>
        <v>892500</v>
      </c>
      <c r="D15" s="329" t="s">
        <v>146</v>
      </c>
    </row>
    <row r="16" spans="1:4" ht="48">
      <c r="A16" s="341">
        <v>6</v>
      </c>
      <c r="B16" s="342" t="str">
        <f>'Basic Info'!C30</f>
        <v>Expand financing options by supporting national partners in identifying micro-credit institutions and developing partnerships to help extend micro-credit to MFP communities  </v>
      </c>
      <c r="C16" s="344">
        <f>'Major Activity 6'!G35</f>
        <v>318500</v>
      </c>
      <c r="D16" s="329" t="s">
        <v>147</v>
      </c>
    </row>
    <row r="17" spans="1:4" ht="60">
      <c r="A17" s="341">
        <v>7</v>
      </c>
      <c r="B17" s="342" t="str">
        <f>'Basic Info'!C31</f>
        <v>Expand technology options for the MFP which could increase and diversify income-generating opportunities along the agricultural value chain</v>
      </c>
      <c r="C17" s="344">
        <f>'Major Activity 7'!G36</f>
        <v>670000</v>
      </c>
      <c r="D17" s="329" t="s">
        <v>148</v>
      </c>
    </row>
    <row r="18" spans="1:4" ht="48">
      <c r="A18" s="341">
        <v>8</v>
      </c>
      <c r="B18" s="342" t="str">
        <f>'Basic Info'!C32</f>
        <v>Research and test the potential of using biofuels as a fuel substitute for the MFPs</v>
      </c>
      <c r="C18" s="344">
        <f>'Major Activity 8'!G35</f>
        <v>409000</v>
      </c>
      <c r="D18" s="329" t="s">
        <v>136</v>
      </c>
    </row>
    <row r="19" spans="1:4" ht="48">
      <c r="A19" s="341">
        <v>9</v>
      </c>
      <c r="B19" s="342" t="str">
        <f>'Basic Info'!C33</f>
        <v>Strengthen national policy frameworks, including national poverty reduction strategies and budgets, to support the expansion of MFP-based agro-enterprises and ensure gender dynamics are integrated in national policies</v>
      </c>
      <c r="C19" s="344">
        <f>'Major Activity 9'!G42</f>
        <v>594000</v>
      </c>
      <c r="D19" s="329" t="s">
        <v>137</v>
      </c>
    </row>
    <row r="20" spans="1:4" ht="48">
      <c r="A20" s="341">
        <v>10</v>
      </c>
      <c r="B20" s="342" t="str">
        <f>'Basic Info'!C34</f>
        <v>Develop and disseminate national and sub regional communication/advocacy materials</v>
      </c>
      <c r="C20" s="344">
        <f>'Major Activity 10'!G40</f>
        <v>418300</v>
      </c>
      <c r="D20" s="329" t="s">
        <v>138</v>
      </c>
    </row>
    <row r="21" spans="1:4" ht="60">
      <c r="A21" s="341">
        <v>11</v>
      </c>
      <c r="B21" s="342" t="str">
        <f>'Basic Info'!C35</f>
        <v>Enhance knowledge codification and sharing to improve the effectiveness of MFP implementation</v>
      </c>
      <c r="C21" s="344">
        <f>'Major Activity 11'!G44</f>
        <v>585500</v>
      </c>
      <c r="D21" s="329" t="s">
        <v>143</v>
      </c>
    </row>
    <row r="22" spans="1:4" ht="47.25" customHeight="1">
      <c r="A22" s="341">
        <v>12</v>
      </c>
      <c r="B22" s="342" t="str">
        <f>'Basic Info'!C36</f>
        <v>Develop and update operational toolkits and user guides, covering 20 different modules, including installing/operating  new technologies, accessing micro-credit, conducting  feasibilities studies, business formulation, M&amp;E, gender, etc</v>
      </c>
      <c r="C22" s="344">
        <f>'Major Activity 12'!G44</f>
        <v>623500</v>
      </c>
      <c r="D22" s="329" t="s">
        <v>139</v>
      </c>
    </row>
    <row r="23" spans="1:4" ht="39.75" customHeight="1" hidden="1">
      <c r="A23" s="341"/>
      <c r="B23" s="342"/>
      <c r="C23" s="344">
        <v>0</v>
      </c>
      <c r="D23" s="181"/>
    </row>
    <row r="24" spans="1:4" ht="51.75" customHeight="1">
      <c r="A24" s="378" t="s">
        <v>391</v>
      </c>
      <c r="B24" s="379"/>
      <c r="C24" s="340"/>
      <c r="D24" s="181"/>
    </row>
    <row r="25" spans="1:4" ht="60.75" customHeight="1">
      <c r="A25" s="341">
        <v>13</v>
      </c>
      <c r="B25" s="342" t="str">
        <f>'Basic Info'!C37</f>
        <v>Take stock of lessons learned from MFPs in West Africa (i) from past experiences during the last decade, (ii) at the midpoint of the project and; (iii) at the end of the project, including detailed thematic assessments of the MFPs in areas such as agricultural value chains, gender, technology diversification/adaptability, business sustainability, etc </v>
      </c>
      <c r="C25" s="344">
        <f>'Major Activity 13'!G49</f>
        <v>1679500</v>
      </c>
      <c r="D25" s="330" t="s">
        <v>140</v>
      </c>
    </row>
    <row r="26" spans="1:4" ht="48">
      <c r="A26" s="351">
        <v>14</v>
      </c>
      <c r="B26" s="342" t="str">
        <f>'Basic Info'!C38</f>
        <v>Develop and launch full-scale national MFP programs and lending proposals for all four countries based on agro-enterprise models that are replicable and scaleable across the sub-region</v>
      </c>
      <c r="C26" s="344">
        <f>'Major Activity 14'!G40</f>
        <v>831000</v>
      </c>
      <c r="D26" s="329" t="s">
        <v>141</v>
      </c>
    </row>
    <row r="27" spans="1:4" ht="48">
      <c r="A27" s="341">
        <v>15</v>
      </c>
      <c r="B27" s="342" t="str">
        <f>'Basic Info'!C39</f>
        <v>Develop and share with the international development community (e.g. donors, governments, etc) a strategy for how to replicate MFP-based agro-enterprises in ECOWAS and other Sub Saharan countries</v>
      </c>
      <c r="C27" s="344">
        <f>'Major Activity 15'!G46</f>
        <v>309000</v>
      </c>
      <c r="D27" s="329" t="s">
        <v>142</v>
      </c>
    </row>
    <row r="28" spans="1:4" ht="12.75">
      <c r="A28" s="139"/>
      <c r="B28" s="139" t="s">
        <v>218</v>
      </c>
      <c r="C28" s="294">
        <f>SUM(C10:C27)</f>
        <v>17669850</v>
      </c>
      <c r="D28" s="331"/>
    </row>
    <row r="29" spans="1:3" ht="25.5" customHeight="1">
      <c r="A29" s="137"/>
      <c r="B29" s="137"/>
      <c r="C29" s="223"/>
    </row>
    <row r="30" spans="1:3" ht="18.75" customHeight="1" thickBot="1">
      <c r="A30" s="138"/>
      <c r="B30" s="138" t="s">
        <v>60</v>
      </c>
      <c r="C30" s="224">
        <f>C32-C28</f>
        <v>1329988.7096774168</v>
      </c>
    </row>
    <row r="31" spans="1:3" ht="3.75" customHeight="1">
      <c r="A31" s="291"/>
      <c r="B31" s="291"/>
      <c r="C31" s="292"/>
    </row>
    <row r="32" spans="1:3" ht="18.75" customHeight="1">
      <c r="A32" s="15"/>
      <c r="B32" s="286" t="s">
        <v>204</v>
      </c>
      <c r="C32" s="230">
        <f>C28/0.93</f>
        <v>18999838.709677417</v>
      </c>
    </row>
    <row r="35" ht="12.75">
      <c r="D35" s="128"/>
    </row>
    <row r="36" ht="12.75">
      <c r="D36" s="128"/>
    </row>
    <row r="37" ht="12.75">
      <c r="D37" s="326"/>
    </row>
    <row r="38" ht="12.75">
      <c r="D38" s="128"/>
    </row>
    <row r="39" ht="12.75">
      <c r="D39" s="128"/>
    </row>
    <row r="40" ht="12.75">
      <c r="D40" s="128"/>
    </row>
    <row r="41" ht="12.75">
      <c r="D41" s="128"/>
    </row>
    <row r="42" ht="12.75">
      <c r="D42" s="128"/>
    </row>
    <row r="49" spans="2:4" ht="12.75">
      <c r="B49" s="128"/>
      <c r="C49" s="128"/>
      <c r="D49" s="128"/>
    </row>
    <row r="50" spans="2:4" ht="12.75">
      <c r="B50" s="128"/>
      <c r="C50" s="128"/>
      <c r="D50" s="128"/>
    </row>
    <row r="51" spans="2:4" ht="12.75">
      <c r="B51" s="128"/>
      <c r="C51" s="128"/>
      <c r="D51" s="128"/>
    </row>
    <row r="52" spans="2:4" ht="12.75">
      <c r="B52" s="128"/>
      <c r="C52" s="128"/>
      <c r="D52" s="128"/>
    </row>
    <row r="53" spans="2:4" ht="12.75">
      <c r="B53" s="128"/>
      <c r="C53" s="128"/>
      <c r="D53" s="128"/>
    </row>
    <row r="54" spans="2:4" ht="12.75">
      <c r="B54" s="128"/>
      <c r="C54" s="128"/>
      <c r="D54" s="128"/>
    </row>
    <row r="55" spans="2:4" ht="12.75">
      <c r="B55" s="128"/>
      <c r="C55" s="128"/>
      <c r="D55" s="128"/>
    </row>
    <row r="56" spans="2:4" ht="12.75">
      <c r="B56" s="128"/>
      <c r="C56" s="128"/>
      <c r="D56" s="128"/>
    </row>
    <row r="57" spans="2:4" ht="12.75">
      <c r="B57" s="128"/>
      <c r="C57" s="128"/>
      <c r="D57" s="128"/>
    </row>
    <row r="58" spans="2:4" ht="12.75">
      <c r="B58" s="128"/>
      <c r="C58" s="128"/>
      <c r="D58" s="128"/>
    </row>
    <row r="59" spans="2:4" ht="12.75">
      <c r="B59" s="128"/>
      <c r="C59" s="128"/>
      <c r="D59" s="128"/>
    </row>
    <row r="60" spans="2:4" ht="12.75">
      <c r="B60" s="128"/>
      <c r="C60" s="128"/>
      <c r="D60" s="128"/>
    </row>
    <row r="61" spans="2:4" ht="12.75">
      <c r="B61" s="128"/>
      <c r="C61" s="128"/>
      <c r="D61" s="128"/>
    </row>
  </sheetData>
  <sheetProtection/>
  <mergeCells count="7">
    <mergeCell ref="A24:B24"/>
    <mergeCell ref="A9:B9"/>
    <mergeCell ref="B4:E4"/>
    <mergeCell ref="D10:D13"/>
    <mergeCell ref="B6:E6"/>
    <mergeCell ref="B5:E5"/>
    <mergeCell ref="A14:B14"/>
  </mergeCells>
  <printOptions horizontalCentered="1"/>
  <pageMargins left="0.2362204724409449" right="0.2362204724409449" top="0.2362204724409449" bottom="0.5118110236220472" header="0" footer="0.2362204724409449"/>
  <pageSetup fitToHeight="1" fitToWidth="1" horizontalDpi="600" verticalDpi="600" orientation="portrait" paperSize="8" scale="72" r:id="rId2"/>
  <headerFooter alignWithMargins="0">
    <oddFooter>&amp;R&amp;8Page &amp;P of &amp;N
Rev: 04/15/05</oddFooter>
  </headerFooter>
  <drawing r:id="rId1"/>
</worksheet>
</file>

<file path=xl/worksheets/sheet4.xml><?xml version="1.0" encoding="utf-8"?>
<worksheet xmlns="http://schemas.openxmlformats.org/spreadsheetml/2006/main" xmlns:r="http://schemas.openxmlformats.org/officeDocument/2006/relationships">
  <sheetPr>
    <tabColor indexed="29"/>
    <pageSetUpPr fitToPage="1"/>
  </sheetPr>
  <dimension ref="A1:X49"/>
  <sheetViews>
    <sheetView tabSelected="1" view="pageBreakPreview" zoomScale="125" zoomScaleNormal="80" zoomScaleSheetLayoutView="125" zoomScalePageLayoutView="0" workbookViewId="0" topLeftCell="B1">
      <selection activeCell="K16" sqref="K16"/>
    </sheetView>
  </sheetViews>
  <sheetFormatPr defaultColWidth="9.140625" defaultRowHeight="12.75"/>
  <cols>
    <col min="1" max="1" width="34.421875" style="1" customWidth="1"/>
    <col min="2" max="6" width="12.00390625" style="1" customWidth="1"/>
    <col min="7" max="7" width="10.421875" style="1" customWidth="1"/>
    <col min="8" max="8" width="14.421875" style="1" hidden="1" customWidth="1"/>
    <col min="9" max="9" width="36.421875" style="2" customWidth="1"/>
    <col min="10" max="16384" width="9.140625" style="1" customWidth="1"/>
  </cols>
  <sheetData>
    <row r="1" ht="18">
      <c r="A1" s="304" t="s">
        <v>165</v>
      </c>
    </row>
    <row r="2" spans="1:2" ht="27" customHeight="1">
      <c r="A2" s="47" t="s">
        <v>363</v>
      </c>
      <c r="B2" s="78" t="s">
        <v>225</v>
      </c>
    </row>
    <row r="3" spans="1:9" ht="15">
      <c r="A3" s="49" t="s">
        <v>364</v>
      </c>
      <c r="B3" s="383" t="str">
        <f>'Snapshot |15 Major Activities'!B3</f>
        <v>Expansion of Successful Poverty Reduction and Women’s Empowerment Model in West Africa Project Number 45498</v>
      </c>
      <c r="C3" s="383"/>
      <c r="D3" s="383"/>
      <c r="E3" s="383"/>
      <c r="F3" s="383"/>
      <c r="G3" s="383"/>
      <c r="H3" s="383"/>
      <c r="I3" s="383"/>
    </row>
    <row r="4" spans="1:9" ht="30" customHeight="1">
      <c r="A4" s="49" t="s">
        <v>193</v>
      </c>
      <c r="B4" s="384" t="str">
        <f>'Snapshot |15 Major Activities'!B4:C4</f>
        <v>To enable smallholder women farmers to increase and diversify their income by developing 600 multifunctional platform-based agro-enterprises in Burkina Faso, Mali and Senegal.</v>
      </c>
      <c r="C4" s="384"/>
      <c r="D4" s="384"/>
      <c r="E4" s="384"/>
      <c r="F4" s="384"/>
      <c r="G4" s="384"/>
      <c r="H4" s="384"/>
      <c r="I4" s="384"/>
    </row>
    <row r="5" spans="1:9" ht="15.75" thickBot="1">
      <c r="A5" s="48" t="s">
        <v>348</v>
      </c>
      <c r="B5" s="36" t="str">
        <f>'Basic Info'!C25</f>
        <v>Conduct village-level feasibility studies for enterprise formation, including business and financing plans and gender analyzes for each village</v>
      </c>
      <c r="C5" s="21"/>
      <c r="D5" s="21"/>
      <c r="E5" s="21"/>
      <c r="F5" s="21"/>
      <c r="G5" s="21"/>
      <c r="H5" s="21"/>
      <c r="I5" s="22"/>
    </row>
    <row r="6" spans="1:24" s="5" customFormat="1" ht="27.75">
      <c r="A6" s="53" t="s">
        <v>404</v>
      </c>
      <c r="B6" s="51" t="s">
        <v>405</v>
      </c>
      <c r="C6" s="51" t="s">
        <v>409</v>
      </c>
      <c r="D6" s="51" t="s">
        <v>410</v>
      </c>
      <c r="E6" s="51" t="s">
        <v>171</v>
      </c>
      <c r="F6" s="51" t="s">
        <v>169</v>
      </c>
      <c r="G6" s="248" t="s">
        <v>411</v>
      </c>
      <c r="H6" s="52" t="s">
        <v>374</v>
      </c>
      <c r="I6" s="54" t="s">
        <v>362</v>
      </c>
      <c r="J6" s="4"/>
      <c r="K6" s="4"/>
      <c r="L6" s="4"/>
      <c r="M6" s="4"/>
      <c r="N6" s="4"/>
      <c r="O6" s="4"/>
      <c r="P6" s="4"/>
      <c r="Q6" s="4"/>
      <c r="R6" s="4"/>
      <c r="S6" s="4"/>
      <c r="T6" s="4"/>
      <c r="U6" s="4"/>
      <c r="V6" s="4"/>
      <c r="W6" s="4"/>
      <c r="X6" s="4"/>
    </row>
    <row r="7" spans="1:9" ht="14.25">
      <c r="A7" s="302" t="s">
        <v>173</v>
      </c>
      <c r="B7" s="176">
        <f>SUM(B8:B10)</f>
        <v>7200</v>
      </c>
      <c r="C7" s="176">
        <f>SUM(C8:C10)</f>
        <v>19200</v>
      </c>
      <c r="D7" s="176">
        <f>SUM(D8:D10)</f>
        <v>33600</v>
      </c>
      <c r="E7" s="176">
        <f>SUM(E8:E10)</f>
        <v>19200</v>
      </c>
      <c r="F7" s="176">
        <f>SUM(F8:F10)</f>
        <v>0</v>
      </c>
      <c r="G7" s="249">
        <f>SUM(B7:F7)</f>
        <v>79200</v>
      </c>
      <c r="H7" s="11"/>
      <c r="I7" s="11"/>
    </row>
    <row r="8" spans="1:9" ht="47.25" customHeight="1">
      <c r="A8" s="225" t="s">
        <v>455</v>
      </c>
      <c r="B8" s="61">
        <f>8000*6*15%</f>
        <v>7200</v>
      </c>
      <c r="C8" s="61">
        <f>8000*6*20%</f>
        <v>9600</v>
      </c>
      <c r="D8" s="61">
        <f>8000*6*35%</f>
        <v>16800</v>
      </c>
      <c r="E8" s="61">
        <f>8000*6*20%</f>
        <v>9600</v>
      </c>
      <c r="F8" s="61">
        <v>0</v>
      </c>
      <c r="G8" s="250"/>
      <c r="H8" s="18"/>
      <c r="I8" s="225" t="s">
        <v>72</v>
      </c>
    </row>
    <row r="9" spans="1:9" ht="45">
      <c r="A9" s="225" t="s">
        <v>73</v>
      </c>
      <c r="B9" s="61"/>
      <c r="C9" s="61">
        <f>8000*2*3*20%</f>
        <v>9600</v>
      </c>
      <c r="D9" s="61">
        <f>8000*2*3*35%</f>
        <v>16800</v>
      </c>
      <c r="E9" s="61">
        <f>8000*2*3*20%</f>
        <v>9600</v>
      </c>
      <c r="F9" s="61">
        <v>0</v>
      </c>
      <c r="G9" s="250"/>
      <c r="H9" s="18"/>
      <c r="I9" s="225" t="s">
        <v>77</v>
      </c>
    </row>
    <row r="10" spans="1:9" ht="13.5" customHeight="1">
      <c r="A10" s="226"/>
      <c r="B10" s="196"/>
      <c r="C10" s="196"/>
      <c r="D10" s="196"/>
      <c r="E10" s="196"/>
      <c r="F10" s="196"/>
      <c r="G10" s="251"/>
      <c r="H10" s="35"/>
      <c r="I10" s="226"/>
    </row>
    <row r="11" spans="1:9" ht="14.25">
      <c r="A11" s="302" t="s">
        <v>354</v>
      </c>
      <c r="B11" s="176">
        <f>SUM(B12:B15)</f>
        <v>0</v>
      </c>
      <c r="C11" s="176">
        <f>SUM(C12:C15)</f>
        <v>0</v>
      </c>
      <c r="D11" s="176">
        <f>SUM(D12:D15)</f>
        <v>0</v>
      </c>
      <c r="E11" s="176">
        <f>SUM(E12:E15)</f>
        <v>0</v>
      </c>
      <c r="F11" s="176">
        <f>SUM(F12:F15)</f>
        <v>0</v>
      </c>
      <c r="G11" s="249">
        <f>SUM(B11:F11)</f>
        <v>0</v>
      </c>
      <c r="H11" s="18"/>
      <c r="I11" s="11"/>
    </row>
    <row r="12" spans="1:9" ht="14.25">
      <c r="A12" s="17" t="s">
        <v>406</v>
      </c>
      <c r="B12" s="56"/>
      <c r="C12" s="56"/>
      <c r="D12" s="56"/>
      <c r="E12" s="56"/>
      <c r="F12" s="56"/>
      <c r="G12" s="250"/>
      <c r="H12" s="18"/>
      <c r="I12" s="11"/>
    </row>
    <row r="13" spans="1:9" ht="14.25" hidden="1">
      <c r="A13" s="17"/>
      <c r="B13" s="56"/>
      <c r="C13" s="56"/>
      <c r="D13" s="56"/>
      <c r="E13" s="56"/>
      <c r="F13" s="56"/>
      <c r="G13" s="250"/>
      <c r="H13" s="18"/>
      <c r="I13" s="11"/>
    </row>
    <row r="14" spans="1:9" ht="14.25" hidden="1">
      <c r="A14" s="17"/>
      <c r="B14" s="56"/>
      <c r="C14" s="56"/>
      <c r="D14" s="56"/>
      <c r="E14" s="56"/>
      <c r="F14" s="56"/>
      <c r="G14" s="250"/>
      <c r="H14" s="18"/>
      <c r="I14" s="11"/>
    </row>
    <row r="15" spans="1:9" ht="14.25">
      <c r="A15" s="23"/>
      <c r="B15" s="195"/>
      <c r="C15" s="195"/>
      <c r="D15" s="195"/>
      <c r="E15" s="195"/>
      <c r="F15" s="195"/>
      <c r="G15" s="252"/>
      <c r="H15" s="24"/>
      <c r="I15" s="23"/>
    </row>
    <row r="16" spans="1:9" ht="15">
      <c r="A16" s="308" t="s">
        <v>352</v>
      </c>
      <c r="B16" s="176">
        <f>SUM(B17:B22)</f>
        <v>26550</v>
      </c>
      <c r="C16" s="176">
        <f>SUM(C17:C22)</f>
        <v>27900</v>
      </c>
      <c r="D16" s="176">
        <f>SUM(D17:D22)</f>
        <v>31950</v>
      </c>
      <c r="E16" s="176">
        <f>SUM(E17:E22)</f>
        <v>27900</v>
      </c>
      <c r="F16" s="176">
        <f>SUM(F17:F22)</f>
        <v>0</v>
      </c>
      <c r="G16" s="249">
        <f>SUM(B16:F16)</f>
        <v>114300</v>
      </c>
      <c r="H16" s="11"/>
      <c r="I16" s="11"/>
    </row>
    <row r="17" spans="1:7" ht="14.25">
      <c r="A17" s="19" t="s">
        <v>370</v>
      </c>
      <c r="B17" s="197"/>
      <c r="C17" s="197"/>
      <c r="D17" s="197"/>
      <c r="E17" s="197"/>
      <c r="F17" s="197"/>
      <c r="G17" s="253"/>
    </row>
    <row r="18" spans="1:9" ht="36">
      <c r="A18" s="189" t="s">
        <v>37</v>
      </c>
      <c r="B18" s="61">
        <f>2500*2*3</f>
        <v>15000</v>
      </c>
      <c r="C18" s="61">
        <f>2500*2*3</f>
        <v>15000</v>
      </c>
      <c r="D18" s="61">
        <f>2500*2*3</f>
        <v>15000</v>
      </c>
      <c r="E18" s="61">
        <f>2500*2*3</f>
        <v>15000</v>
      </c>
      <c r="F18" s="61">
        <v>0</v>
      </c>
      <c r="G18" s="253"/>
      <c r="H18" s="199"/>
      <c r="I18" s="180" t="s">
        <v>74</v>
      </c>
    </row>
    <row r="19" spans="1:9" ht="24">
      <c r="A19" s="189" t="s">
        <v>38</v>
      </c>
      <c r="B19" s="61">
        <f>9*1500*15%</f>
        <v>2025</v>
      </c>
      <c r="C19" s="61">
        <f>9*1500*20%</f>
        <v>2700</v>
      </c>
      <c r="D19" s="61">
        <f>9*1500*35%</f>
        <v>4725</v>
      </c>
      <c r="E19" s="61">
        <f>9*1500*20%</f>
        <v>2700</v>
      </c>
      <c r="F19" s="61">
        <v>0</v>
      </c>
      <c r="G19" s="253"/>
      <c r="H19" s="199"/>
      <c r="I19" s="180" t="s">
        <v>175</v>
      </c>
    </row>
    <row r="20" spans="1:9" ht="36">
      <c r="A20" s="208" t="s">
        <v>69</v>
      </c>
      <c r="B20" s="61">
        <f>2500*3</f>
        <v>7500</v>
      </c>
      <c r="C20" s="61">
        <f>2500*3</f>
        <v>7500</v>
      </c>
      <c r="D20" s="61">
        <f>2500*3</f>
        <v>7500</v>
      </c>
      <c r="E20" s="61">
        <f>2500*3</f>
        <v>7500</v>
      </c>
      <c r="F20" s="61">
        <v>0</v>
      </c>
      <c r="G20" s="254"/>
      <c r="H20" s="33"/>
      <c r="I20" s="180" t="s">
        <v>78</v>
      </c>
    </row>
    <row r="21" spans="1:9" ht="30" customHeight="1">
      <c r="A21" s="61" t="s">
        <v>38</v>
      </c>
      <c r="B21" s="61">
        <f>9*1500*15%</f>
        <v>2025</v>
      </c>
      <c r="C21" s="61">
        <f>9*1500*20%</f>
        <v>2700</v>
      </c>
      <c r="D21" s="61">
        <f>9*1500*35%</f>
        <v>4725</v>
      </c>
      <c r="E21" s="61">
        <f>9*1500*20%</f>
        <v>2700</v>
      </c>
      <c r="F21" s="61">
        <v>0</v>
      </c>
      <c r="G21" s="254"/>
      <c r="H21" s="33"/>
      <c r="I21" s="180" t="s">
        <v>175</v>
      </c>
    </row>
    <row r="22" spans="1:9" ht="24" hidden="1">
      <c r="A22" s="207" t="s">
        <v>80</v>
      </c>
      <c r="B22" s="207"/>
      <c r="C22" s="207"/>
      <c r="D22" s="207"/>
      <c r="E22" s="207"/>
      <c r="F22" s="207"/>
      <c r="G22" s="251"/>
      <c r="H22" s="200"/>
      <c r="I22" s="202" t="s">
        <v>79</v>
      </c>
    </row>
    <row r="23" spans="1:9" ht="14.25">
      <c r="A23" s="302" t="s">
        <v>359</v>
      </c>
      <c r="B23" s="176">
        <f>SUM(B24:B28)</f>
        <v>51300</v>
      </c>
      <c r="C23" s="176">
        <f>SUM(C24:C28)</f>
        <v>59400</v>
      </c>
      <c r="D23" s="176">
        <f>SUM(D24:D28)</f>
        <v>56700</v>
      </c>
      <c r="E23" s="176">
        <f>SUM(E24:E28)</f>
        <v>32400</v>
      </c>
      <c r="F23" s="176">
        <f>SUM(F24:F28)</f>
        <v>0</v>
      </c>
      <c r="G23" s="249">
        <f>SUM(B23:F23)</f>
        <v>199800</v>
      </c>
      <c r="H23" s="11"/>
      <c r="I23" s="11"/>
    </row>
    <row r="24" spans="1:9" s="86" customFormat="1" ht="36">
      <c r="A24" s="189" t="s">
        <v>39</v>
      </c>
      <c r="B24" s="61">
        <f>3000*9*2*50%</f>
        <v>27000</v>
      </c>
      <c r="C24" s="61">
        <f>3000*9*2*50%</f>
        <v>27000</v>
      </c>
      <c r="D24" s="204"/>
      <c r="E24" s="204"/>
      <c r="F24" s="204"/>
      <c r="G24" s="253"/>
      <c r="H24" s="199"/>
      <c r="I24" s="180" t="s">
        <v>109</v>
      </c>
    </row>
    <row r="25" spans="1:9" ht="36" hidden="1">
      <c r="A25" s="205" t="s">
        <v>86</v>
      </c>
      <c r="B25" s="204"/>
      <c r="C25" s="204"/>
      <c r="D25" s="204"/>
      <c r="E25" s="204"/>
      <c r="F25" s="204"/>
      <c r="G25" s="253"/>
      <c r="I25" s="180" t="s">
        <v>323</v>
      </c>
    </row>
    <row r="26" spans="1:7" ht="14.25">
      <c r="A26" s="10"/>
      <c r="B26" s="197"/>
      <c r="C26" s="197"/>
      <c r="D26" s="197"/>
      <c r="E26" s="197"/>
      <c r="F26" s="197"/>
      <c r="G26" s="253"/>
    </row>
    <row r="27" spans="1:9" ht="58.5" customHeight="1">
      <c r="A27" s="207" t="s">
        <v>40</v>
      </c>
      <c r="B27" s="206">
        <f>2*9*3*3000*15%</f>
        <v>24300</v>
      </c>
      <c r="C27" s="206">
        <f>2*9*3*3000*20%</f>
        <v>32400</v>
      </c>
      <c r="D27" s="206">
        <f>2*9*3*3000*35%</f>
        <v>56700</v>
      </c>
      <c r="E27" s="206">
        <f>2*9*3*3000*20%</f>
        <v>32400</v>
      </c>
      <c r="F27" s="206">
        <v>0</v>
      </c>
      <c r="G27" s="251"/>
      <c r="H27" s="200"/>
      <c r="I27" s="202" t="s">
        <v>110</v>
      </c>
    </row>
    <row r="28" spans="1:9" ht="60" hidden="1">
      <c r="A28" s="207" t="s">
        <v>82</v>
      </c>
      <c r="B28" s="206"/>
      <c r="C28" s="206"/>
      <c r="D28" s="206"/>
      <c r="E28" s="206"/>
      <c r="F28" s="206"/>
      <c r="G28" s="251"/>
      <c r="H28" s="35"/>
      <c r="I28" s="202" t="s">
        <v>324</v>
      </c>
    </row>
    <row r="29" spans="1:9" ht="14.25">
      <c r="A29" s="302" t="s">
        <v>356</v>
      </c>
      <c r="B29" s="176">
        <f>SUM(B30:B31)</f>
        <v>0</v>
      </c>
      <c r="C29" s="176">
        <f>SUM(C30:C31)</f>
        <v>0</v>
      </c>
      <c r="D29" s="176">
        <f>SUM(D30:D31)</f>
        <v>0</v>
      </c>
      <c r="E29" s="176">
        <f>SUM(E30:E31)</f>
        <v>0</v>
      </c>
      <c r="F29" s="176">
        <f>SUM(F30:F31)</f>
        <v>0</v>
      </c>
      <c r="G29" s="249">
        <f>SUM(B29:F29)</f>
        <v>0</v>
      </c>
      <c r="H29" s="18"/>
      <c r="I29" s="11"/>
    </row>
    <row r="30" spans="1:9" ht="14.25">
      <c r="A30" s="17" t="s">
        <v>407</v>
      </c>
      <c r="B30" s="56"/>
      <c r="C30" s="56"/>
      <c r="D30" s="56"/>
      <c r="E30" s="56"/>
      <c r="F30" s="56"/>
      <c r="G30" s="249"/>
      <c r="H30" s="18"/>
      <c r="I30" s="11"/>
    </row>
    <row r="31" spans="1:9" ht="14.25">
      <c r="A31" s="35"/>
      <c r="B31" s="196"/>
      <c r="C31" s="196"/>
      <c r="D31" s="196"/>
      <c r="E31" s="196"/>
      <c r="F31" s="196"/>
      <c r="G31" s="251"/>
      <c r="H31" s="35"/>
      <c r="I31" s="168"/>
    </row>
    <row r="32" spans="1:9" ht="14.25">
      <c r="A32" s="302" t="s">
        <v>357</v>
      </c>
      <c r="B32" s="176">
        <f>SUM(B33:B38)</f>
        <v>145575</v>
      </c>
      <c r="C32" s="176">
        <f>SUM(C33:C38)</f>
        <v>291150</v>
      </c>
      <c r="D32" s="176">
        <f>SUM(D33:D38)</f>
        <v>339675</v>
      </c>
      <c r="E32" s="176">
        <f>SUM(E33:E38)</f>
        <v>194100</v>
      </c>
      <c r="F32" s="176">
        <f>SUM(F33:F38)</f>
        <v>0</v>
      </c>
      <c r="G32" s="249">
        <f>SUM(B32:F32)</f>
        <v>970500</v>
      </c>
      <c r="H32" s="11"/>
      <c r="I32" s="11"/>
    </row>
    <row r="33" spans="1:8" ht="14.25" customHeight="1">
      <c r="A33" s="132"/>
      <c r="B33" s="56"/>
      <c r="C33" s="56"/>
      <c r="D33" s="56"/>
      <c r="E33" s="56"/>
      <c r="F33" s="56"/>
      <c r="G33" s="250"/>
      <c r="H33" s="18"/>
    </row>
    <row r="34" spans="1:9" ht="48">
      <c r="A34" s="19" t="s">
        <v>41</v>
      </c>
      <c r="B34" s="61">
        <f>142.5*600*15%</f>
        <v>12825</v>
      </c>
      <c r="C34" s="61">
        <f>142.5*600*30%</f>
        <v>25650</v>
      </c>
      <c r="D34" s="204">
        <f>142.5*600*35%</f>
        <v>29924.999999999996</v>
      </c>
      <c r="E34" s="204">
        <f>142.5*600*20%</f>
        <v>17100</v>
      </c>
      <c r="F34" s="204">
        <v>0</v>
      </c>
      <c r="G34" s="250">
        <f>SUM(B34:F34)</f>
        <v>85500</v>
      </c>
      <c r="I34" s="244" t="s">
        <v>42</v>
      </c>
    </row>
    <row r="35" spans="1:9" ht="14.25" customHeight="1">
      <c r="A35" s="19"/>
      <c r="B35" s="197"/>
      <c r="C35" s="197"/>
      <c r="D35" s="197"/>
      <c r="E35" s="197"/>
      <c r="F35" s="197"/>
      <c r="G35" s="253"/>
      <c r="I35" s="225"/>
    </row>
    <row r="36" spans="1:9" ht="37.5" customHeight="1">
      <c r="A36" s="189" t="s">
        <v>43</v>
      </c>
      <c r="B36" s="197">
        <f>840000*15%</f>
        <v>126000</v>
      </c>
      <c r="C36" s="197">
        <f>840000*30%</f>
        <v>252000</v>
      </c>
      <c r="D36" s="197">
        <f>840000*35%</f>
        <v>294000</v>
      </c>
      <c r="E36" s="197">
        <f>840000*20%</f>
        <v>168000</v>
      </c>
      <c r="F36" s="197">
        <v>0</v>
      </c>
      <c r="G36" s="250">
        <f>SUM(B36:F36)</f>
        <v>840000</v>
      </c>
      <c r="I36" s="268" t="s">
        <v>45</v>
      </c>
    </row>
    <row r="37" spans="1:9" ht="27" customHeight="1" hidden="1">
      <c r="A37" s="19" t="s">
        <v>174</v>
      </c>
      <c r="B37" s="243"/>
      <c r="C37" s="243"/>
      <c r="D37" s="243"/>
      <c r="E37" s="243"/>
      <c r="F37" s="243"/>
      <c r="G37" s="253"/>
      <c r="I37" s="208"/>
    </row>
    <row r="38" spans="1:9" ht="48">
      <c r="A38" s="34" t="s">
        <v>44</v>
      </c>
      <c r="B38" s="207">
        <f>45000*15%</f>
        <v>6750</v>
      </c>
      <c r="C38" s="207">
        <f>45000*30%</f>
        <v>13500</v>
      </c>
      <c r="D38" s="206">
        <f>45000*35%</f>
        <v>15749.999999999998</v>
      </c>
      <c r="E38" s="206">
        <f>45000*20%</f>
        <v>9000</v>
      </c>
      <c r="F38" s="206">
        <v>0</v>
      </c>
      <c r="G38" s="250">
        <f>SUM(B38:F38)</f>
        <v>45000</v>
      </c>
      <c r="H38" s="35"/>
      <c r="I38" s="210" t="s">
        <v>217</v>
      </c>
    </row>
    <row r="39" spans="1:9" ht="14.25">
      <c r="A39" s="302" t="s">
        <v>358</v>
      </c>
      <c r="B39" s="176">
        <f>SUM(B40:B41)</f>
        <v>0</v>
      </c>
      <c r="C39" s="176">
        <f>SUM(C40:C41)</f>
        <v>0</v>
      </c>
      <c r="D39" s="176">
        <f>SUM(D40:D41)</f>
        <v>0</v>
      </c>
      <c r="E39" s="176">
        <f>SUM(E40:E41)</f>
        <v>0</v>
      </c>
      <c r="F39" s="176">
        <f>SUM(F40:F41)</f>
        <v>0</v>
      </c>
      <c r="G39" s="249">
        <f>SUM(B39:F39)</f>
        <v>0</v>
      </c>
      <c r="H39" s="11"/>
      <c r="I39" s="11"/>
    </row>
    <row r="40" spans="1:9" ht="14.25">
      <c r="A40" s="17" t="s">
        <v>408</v>
      </c>
      <c r="B40" s="56"/>
      <c r="C40" s="56"/>
      <c r="D40" s="56"/>
      <c r="E40" s="56"/>
      <c r="F40" s="56"/>
      <c r="G40" s="250"/>
      <c r="H40" s="18"/>
      <c r="I40" s="11"/>
    </row>
    <row r="41" spans="1:9" ht="14.25">
      <c r="A41" s="35"/>
      <c r="B41" s="196"/>
      <c r="C41" s="196"/>
      <c r="D41" s="196"/>
      <c r="E41" s="196"/>
      <c r="F41" s="196"/>
      <c r="G41" s="251"/>
      <c r="H41" s="35"/>
      <c r="I41" s="168"/>
    </row>
    <row r="42" spans="1:9" ht="14.25">
      <c r="A42" s="302" t="s">
        <v>355</v>
      </c>
      <c r="B42" s="176">
        <f>SUM(B43:B44)</f>
        <v>0</v>
      </c>
      <c r="C42" s="176">
        <f>SUM(C43:C44)</f>
        <v>0</v>
      </c>
      <c r="D42" s="176">
        <f>SUM(D43:D44)</f>
        <v>0</v>
      </c>
      <c r="E42" s="176">
        <f>SUM(E43:E44)</f>
        <v>0</v>
      </c>
      <c r="F42" s="176">
        <f>SUM(F43:F44)</f>
        <v>0</v>
      </c>
      <c r="G42" s="249">
        <f>SUM(B42:F42)</f>
        <v>0</v>
      </c>
      <c r="H42" s="11"/>
      <c r="I42" s="11"/>
    </row>
    <row r="43" spans="1:9" ht="14.25">
      <c r="A43" s="17" t="s">
        <v>407</v>
      </c>
      <c r="B43" s="56"/>
      <c r="C43" s="56"/>
      <c r="D43" s="56"/>
      <c r="E43" s="56"/>
      <c r="F43" s="56"/>
      <c r="G43" s="250"/>
      <c r="H43" s="18"/>
      <c r="I43" s="11"/>
    </row>
    <row r="44" spans="1:9" ht="14.25">
      <c r="A44" s="35"/>
      <c r="B44" s="196"/>
      <c r="C44" s="196"/>
      <c r="D44" s="196"/>
      <c r="E44" s="196"/>
      <c r="F44" s="196"/>
      <c r="G44" s="251"/>
      <c r="H44" s="35"/>
      <c r="I44" s="168"/>
    </row>
    <row r="45" spans="1:9" ht="14.25">
      <c r="A45" s="309" t="s">
        <v>172</v>
      </c>
      <c r="B45" s="249">
        <f aca="true" t="shared" si="0" ref="B45:G45">SUM(B7,B11,B16,B23,B29,B32,B39,B42)</f>
        <v>230625</v>
      </c>
      <c r="C45" s="249">
        <f t="shared" si="0"/>
        <v>397650</v>
      </c>
      <c r="D45" s="249">
        <f t="shared" si="0"/>
        <v>461925</v>
      </c>
      <c r="E45" s="249">
        <f t="shared" si="0"/>
        <v>273600</v>
      </c>
      <c r="F45" s="249">
        <f t="shared" si="0"/>
        <v>0</v>
      </c>
      <c r="G45" s="249">
        <f t="shared" si="0"/>
        <v>1363800</v>
      </c>
      <c r="H45" s="20"/>
      <c r="I45" s="11"/>
    </row>
    <row r="46" spans="1:9" ht="14.25">
      <c r="A46" s="258"/>
      <c r="B46" s="251"/>
      <c r="C46" s="251"/>
      <c r="D46" s="251"/>
      <c r="E46" s="251"/>
      <c r="F46" s="251"/>
      <c r="G46" s="251"/>
      <c r="H46" s="27"/>
      <c r="I46" s="23"/>
    </row>
    <row r="47" spans="1:9" ht="14.25">
      <c r="A47" s="14" t="s">
        <v>371</v>
      </c>
      <c r="B47" s="10"/>
      <c r="C47" s="10"/>
      <c r="D47" s="10"/>
      <c r="E47" s="10"/>
      <c r="F47" s="10"/>
      <c r="G47" s="10"/>
      <c r="H47" s="10"/>
      <c r="I47" s="13"/>
    </row>
    <row r="48" ht="14.25">
      <c r="I48" s="301"/>
    </row>
    <row r="49" ht="14.25">
      <c r="G49" s="185"/>
    </row>
  </sheetData>
  <sheetProtection/>
  <mergeCells count="2">
    <mergeCell ref="B3:I3"/>
    <mergeCell ref="B4:I4"/>
  </mergeCells>
  <printOptions horizontalCentered="1"/>
  <pageMargins left="0.2362204724409449" right="0.2362204724409449" top="0.2362204724409449" bottom="0.5118110236220472" header="0" footer="0.2362204724409449"/>
  <pageSetup fitToHeight="1" fitToWidth="1" horizontalDpi="600" verticalDpi="600" orientation="portrait" paperSize="8" scale="67" r:id="rId2"/>
  <headerFooter alignWithMargins="0">
    <oddFooter>&amp;R&amp;8Page &amp;P of &amp;N
Rev: 04/15/05</oddFooter>
  </headerFooter>
  <drawing r:id="rId1"/>
</worksheet>
</file>

<file path=xl/worksheets/sheet5.xml><?xml version="1.0" encoding="utf-8"?>
<worksheet xmlns="http://schemas.openxmlformats.org/spreadsheetml/2006/main" xmlns:r="http://schemas.openxmlformats.org/officeDocument/2006/relationships">
  <sheetPr>
    <tabColor indexed="29"/>
  </sheetPr>
  <dimension ref="A1:J41"/>
  <sheetViews>
    <sheetView zoomScale="80" zoomScaleNormal="80" zoomScalePageLayoutView="0" workbookViewId="0" topLeftCell="A15">
      <selection activeCell="J15" sqref="J1:K16384"/>
    </sheetView>
  </sheetViews>
  <sheetFormatPr defaultColWidth="9.140625" defaultRowHeight="12.75"/>
  <cols>
    <col min="1" max="1" width="34.421875" style="1" customWidth="1"/>
    <col min="2" max="7" width="12.00390625" style="1" customWidth="1"/>
    <col min="8" max="8" width="14.421875" style="1" hidden="1" customWidth="1"/>
    <col min="9" max="9" width="36.421875" style="2" customWidth="1"/>
    <col min="10" max="16384" width="9.140625" style="1" customWidth="1"/>
  </cols>
  <sheetData>
    <row r="1" ht="18">
      <c r="A1" s="304" t="s">
        <v>165</v>
      </c>
    </row>
    <row r="2" spans="1:9" ht="32.25" customHeight="1">
      <c r="A2" s="47" t="s">
        <v>363</v>
      </c>
      <c r="B2" s="81" t="str">
        <f>'Major Activity 1'!B2</f>
        <v>UNDP</v>
      </c>
      <c r="C2" s="78"/>
      <c r="D2" s="78"/>
      <c r="E2" s="78"/>
      <c r="F2" s="78"/>
      <c r="G2" s="78"/>
      <c r="H2" s="78"/>
      <c r="I2" s="172"/>
    </row>
    <row r="3" spans="1:9" ht="15">
      <c r="A3" s="47" t="s">
        <v>364</v>
      </c>
      <c r="B3" s="81" t="str">
        <f>'Snapshot |15 Major Activities'!B3</f>
        <v>Expansion of Successful Poverty Reduction and Women’s Empowerment Model in West Africa Project Number 45498</v>
      </c>
      <c r="C3" s="78"/>
      <c r="D3" s="78"/>
      <c r="E3" s="78"/>
      <c r="F3" s="78"/>
      <c r="G3" s="78"/>
      <c r="H3" s="78"/>
      <c r="I3" s="172"/>
    </row>
    <row r="4" spans="1:9" ht="30.75" customHeight="1">
      <c r="A4" s="49" t="s">
        <v>193</v>
      </c>
      <c r="B4" s="385" t="str">
        <f>'Snapshot |15 Major Activities'!B4:C4</f>
        <v>To enable smallholder women farmers to increase and diversify their income by developing 600 multifunctional platform-based agro-enterprises in Burkina Faso, Mali and Senegal.</v>
      </c>
      <c r="C4" s="385"/>
      <c r="D4" s="385"/>
      <c r="E4" s="385"/>
      <c r="F4" s="385"/>
      <c r="G4" s="385"/>
      <c r="H4" s="385"/>
      <c r="I4" s="385"/>
    </row>
    <row r="5" spans="1:9" ht="33" customHeight="1" thickBot="1">
      <c r="A5" s="48" t="s">
        <v>350</v>
      </c>
      <c r="B5" s="386" t="str">
        <f>'Basic Info'!C26</f>
        <v>Create the enabling conditions for the MFP-based enterprises by training women’s groups and artisan networks and ensuring gender sensitive training</v>
      </c>
      <c r="C5" s="386"/>
      <c r="D5" s="386"/>
      <c r="E5" s="386"/>
      <c r="F5" s="386"/>
      <c r="G5" s="386"/>
      <c r="H5" s="386"/>
      <c r="I5" s="386"/>
    </row>
    <row r="6" spans="1:9" s="171" customFormat="1" ht="31.5" customHeight="1">
      <c r="A6" s="53" t="s">
        <v>404</v>
      </c>
      <c r="B6" s="51" t="s">
        <v>405</v>
      </c>
      <c r="C6" s="51" t="s">
        <v>409</v>
      </c>
      <c r="D6" s="51" t="s">
        <v>410</v>
      </c>
      <c r="E6" s="51" t="s">
        <v>171</v>
      </c>
      <c r="F6" s="51" t="s">
        <v>169</v>
      </c>
      <c r="G6" s="248" t="s">
        <v>411</v>
      </c>
      <c r="H6" s="52" t="s">
        <v>374</v>
      </c>
      <c r="I6" s="54" t="s">
        <v>362</v>
      </c>
    </row>
    <row r="7" spans="1:9" s="4" customFormat="1" ht="14.25">
      <c r="A7" s="302" t="s">
        <v>353</v>
      </c>
      <c r="B7" s="55">
        <f>SUM(B8:B8)</f>
        <v>32000</v>
      </c>
      <c r="C7" s="55">
        <f>SUM(C8:C8)</f>
        <v>32000</v>
      </c>
      <c r="D7" s="55">
        <f>SUM(D8:D8)</f>
        <v>32000</v>
      </c>
      <c r="E7" s="55">
        <f>SUM(E8:E8)</f>
        <v>32000</v>
      </c>
      <c r="F7" s="55">
        <f>SUM(F8:F8)</f>
        <v>0</v>
      </c>
      <c r="G7" s="249">
        <f>SUM(B7:F7)</f>
        <v>128000</v>
      </c>
      <c r="H7" s="61"/>
      <c r="I7" s="61"/>
    </row>
    <row r="8" spans="1:9" s="4" customFormat="1" ht="33.75">
      <c r="A8" s="34" t="s">
        <v>445</v>
      </c>
      <c r="B8" s="207">
        <f>8000*4</f>
        <v>32000</v>
      </c>
      <c r="C8" s="207">
        <f>8000*4</f>
        <v>32000</v>
      </c>
      <c r="D8" s="207">
        <f>8000*4</f>
        <v>32000</v>
      </c>
      <c r="E8" s="207">
        <f>8000*4</f>
        <v>32000</v>
      </c>
      <c r="F8" s="206"/>
      <c r="G8" s="251"/>
      <c r="H8" s="206"/>
      <c r="I8" s="241" t="s">
        <v>56</v>
      </c>
    </row>
    <row r="9" spans="1:9" s="4" customFormat="1" ht="14.25">
      <c r="A9" s="302" t="s">
        <v>354</v>
      </c>
      <c r="B9" s="55">
        <f>SUM(B10:B11)</f>
        <v>0</v>
      </c>
      <c r="C9" s="55">
        <f>SUM(C10:C11)</f>
        <v>0</v>
      </c>
      <c r="D9" s="55">
        <f>SUM(D10:D11)</f>
        <v>0</v>
      </c>
      <c r="E9" s="55">
        <f>SUM(E10:E11)</f>
        <v>0</v>
      </c>
      <c r="F9" s="55">
        <f>SUM(F10:F11)</f>
        <v>0</v>
      </c>
      <c r="G9" s="249">
        <f>SUM(B9:F9)</f>
        <v>0</v>
      </c>
      <c r="H9" s="61"/>
      <c r="I9" s="61"/>
    </row>
    <row r="10" spans="1:9" s="4" customFormat="1" ht="14.25">
      <c r="A10" s="17" t="s">
        <v>406</v>
      </c>
      <c r="B10" s="61"/>
      <c r="C10" s="61"/>
      <c r="D10" s="61"/>
      <c r="E10" s="61"/>
      <c r="F10" s="61"/>
      <c r="G10" s="250"/>
      <c r="H10" s="61"/>
      <c r="I10" s="61"/>
    </row>
    <row r="11" spans="1:9" ht="14.25">
      <c r="A11" s="23"/>
      <c r="B11" s="207"/>
      <c r="C11" s="207"/>
      <c r="D11" s="207"/>
      <c r="E11" s="207"/>
      <c r="F11" s="207"/>
      <c r="G11" s="252"/>
      <c r="H11" s="207"/>
      <c r="I11" s="207"/>
    </row>
    <row r="12" spans="1:9" ht="15">
      <c r="A12" s="308" t="s">
        <v>352</v>
      </c>
      <c r="B12" s="55">
        <f>SUM(B13:B15)</f>
        <v>30000</v>
      </c>
      <c r="C12" s="55">
        <f>SUM(C13:C15)</f>
        <v>30000</v>
      </c>
      <c r="D12" s="55">
        <f>SUM(D13:D15)</f>
        <v>30000</v>
      </c>
      <c r="E12" s="55">
        <f>SUM(E13:E15)</f>
        <v>30000</v>
      </c>
      <c r="F12" s="55">
        <f>SUM(F13:F15)</f>
        <v>0</v>
      </c>
      <c r="G12" s="249">
        <f>SUM(B12:F12)</f>
        <v>120000</v>
      </c>
      <c r="H12" s="61"/>
      <c r="I12" s="61"/>
    </row>
    <row r="13" spans="1:9" ht="45">
      <c r="A13" s="189" t="s">
        <v>46</v>
      </c>
      <c r="B13" s="61">
        <f>500*2*3*10</f>
        <v>30000</v>
      </c>
      <c r="C13" s="61">
        <f>500*2*3*10</f>
        <v>30000</v>
      </c>
      <c r="D13" s="61">
        <f>500*2*3*10</f>
        <v>30000</v>
      </c>
      <c r="E13" s="61">
        <f>500*2*3*10</f>
        <v>30000</v>
      </c>
      <c r="F13" s="61"/>
      <c r="G13" s="249"/>
      <c r="H13" s="61"/>
      <c r="I13" s="240" t="s">
        <v>124</v>
      </c>
    </row>
    <row r="14" spans="1:9" ht="24" hidden="1">
      <c r="A14" s="61" t="s">
        <v>80</v>
      </c>
      <c r="B14" s="61"/>
      <c r="C14" s="61"/>
      <c r="D14" s="61"/>
      <c r="E14" s="61"/>
      <c r="F14" s="61"/>
      <c r="G14" s="254"/>
      <c r="H14" s="187"/>
      <c r="I14" s="179" t="s">
        <v>79</v>
      </c>
    </row>
    <row r="15" spans="1:10" ht="14.25">
      <c r="A15" s="35"/>
      <c r="B15" s="206"/>
      <c r="C15" s="206"/>
      <c r="D15" s="206"/>
      <c r="E15" s="206"/>
      <c r="F15" s="206"/>
      <c r="G15" s="251"/>
      <c r="H15" s="206"/>
      <c r="I15" s="207"/>
      <c r="J15" s="86"/>
    </row>
    <row r="16" spans="1:9" ht="14.25">
      <c r="A16" s="302" t="s">
        <v>359</v>
      </c>
      <c r="B16" s="55">
        <f>SUM(B17:B19)</f>
        <v>6000</v>
      </c>
      <c r="C16" s="55">
        <f>SUM(C17:C19)</f>
        <v>6000</v>
      </c>
      <c r="D16" s="55">
        <f>SUM(D17:D19)</f>
        <v>6000</v>
      </c>
      <c r="E16" s="55">
        <f>SUM(E17:E19)</f>
        <v>6000</v>
      </c>
      <c r="F16" s="55">
        <f>SUM(F17:F19)</f>
        <v>0</v>
      </c>
      <c r="G16" s="249">
        <f>SUM(B16:F16)</f>
        <v>24000</v>
      </c>
      <c r="H16" s="61"/>
      <c r="I16" s="61"/>
    </row>
    <row r="17" spans="1:9" ht="33.75">
      <c r="A17" s="34" t="s">
        <v>187</v>
      </c>
      <c r="B17" s="207">
        <f>3000*2</f>
        <v>6000</v>
      </c>
      <c r="C17" s="207">
        <f>3000*2</f>
        <v>6000</v>
      </c>
      <c r="D17" s="207">
        <f>3000*2</f>
        <v>6000</v>
      </c>
      <c r="E17" s="207">
        <f>3000*2</f>
        <v>6000</v>
      </c>
      <c r="F17" s="207">
        <v>0</v>
      </c>
      <c r="G17" s="251"/>
      <c r="H17" s="206"/>
      <c r="I17" s="23"/>
    </row>
    <row r="18" spans="1:9" ht="24" hidden="1">
      <c r="A18" s="205" t="s">
        <v>85</v>
      </c>
      <c r="B18" s="204"/>
      <c r="C18" s="204"/>
      <c r="D18" s="204"/>
      <c r="E18" s="204"/>
      <c r="F18" s="204"/>
      <c r="G18" s="253"/>
      <c r="I18" s="180" t="s">
        <v>325</v>
      </c>
    </row>
    <row r="19" spans="1:9" ht="72" hidden="1">
      <c r="A19" s="207" t="s">
        <v>82</v>
      </c>
      <c r="B19" s="206"/>
      <c r="C19" s="206"/>
      <c r="D19" s="206"/>
      <c r="E19" s="206"/>
      <c r="F19" s="206"/>
      <c r="G19" s="251"/>
      <c r="H19" s="35"/>
      <c r="I19" s="202" t="s">
        <v>330</v>
      </c>
    </row>
    <row r="20" spans="1:9" ht="14.25">
      <c r="A20" s="302" t="s">
        <v>356</v>
      </c>
      <c r="B20" s="55">
        <f>SUM(B21:B22)</f>
        <v>15000</v>
      </c>
      <c r="C20" s="55">
        <f>SUM(C21:C22)</f>
        <v>15000</v>
      </c>
      <c r="D20" s="55">
        <f>SUM(D21:D22)</f>
        <v>15000</v>
      </c>
      <c r="E20" s="55">
        <f>SUM(E21:E22)</f>
        <v>15000</v>
      </c>
      <c r="F20" s="55">
        <f>SUM(F21:F22)</f>
        <v>0</v>
      </c>
      <c r="G20" s="249">
        <f>SUM(B20:F20)</f>
        <v>60000</v>
      </c>
      <c r="H20" s="61"/>
      <c r="I20" s="61"/>
    </row>
    <row r="21" spans="1:9" ht="14.25">
      <c r="A21" s="17" t="s">
        <v>407</v>
      </c>
      <c r="B21" s="61"/>
      <c r="C21" s="61"/>
      <c r="D21" s="61"/>
      <c r="E21" s="61"/>
      <c r="F21" s="61"/>
      <c r="G21" s="249"/>
      <c r="H21" s="61"/>
      <c r="I21" s="61"/>
    </row>
    <row r="22" spans="1:9" ht="48" customHeight="1">
      <c r="A22" s="240" t="s">
        <v>47</v>
      </c>
      <c r="B22" s="61">
        <f>5000*3</f>
        <v>15000</v>
      </c>
      <c r="C22" s="61">
        <f>5000*3</f>
        <v>15000</v>
      </c>
      <c r="D22" s="61">
        <f>5000*3</f>
        <v>15000</v>
      </c>
      <c r="E22" s="61">
        <f>5000*3</f>
        <v>15000</v>
      </c>
      <c r="F22" s="61"/>
      <c r="G22" s="254"/>
      <c r="H22" s="187"/>
      <c r="I22" s="240" t="s">
        <v>419</v>
      </c>
    </row>
    <row r="23" spans="1:9" ht="14.25">
      <c r="A23" s="35"/>
      <c r="B23" s="206"/>
      <c r="C23" s="206"/>
      <c r="D23" s="206"/>
      <c r="E23" s="206"/>
      <c r="F23" s="206"/>
      <c r="G23" s="251"/>
      <c r="H23" s="200"/>
      <c r="I23" s="241"/>
    </row>
    <row r="24" spans="1:9" ht="14.25">
      <c r="A24" s="302" t="s">
        <v>357</v>
      </c>
      <c r="B24" s="55">
        <f>SUM(B25:B30)</f>
        <v>485000</v>
      </c>
      <c r="C24" s="55">
        <f>SUM(C25:C30)</f>
        <v>387000</v>
      </c>
      <c r="D24" s="55">
        <f>SUM(D25:D30)</f>
        <v>451500</v>
      </c>
      <c r="E24" s="55">
        <f>SUM(E25:E30)</f>
        <v>258000</v>
      </c>
      <c r="F24" s="55">
        <f>SUM(F25:F30)</f>
        <v>0</v>
      </c>
      <c r="G24" s="249">
        <f>SUM(B24:F24)</f>
        <v>1581500</v>
      </c>
      <c r="H24" s="61"/>
      <c r="I24" s="61"/>
    </row>
    <row r="25" spans="1:9" ht="14.25">
      <c r="A25" s="11"/>
      <c r="B25" s="61"/>
      <c r="C25" s="61"/>
      <c r="D25" s="61"/>
      <c r="E25" s="61"/>
      <c r="F25" s="61"/>
      <c r="G25" s="250"/>
      <c r="H25" s="61"/>
      <c r="I25" s="61"/>
    </row>
    <row r="26" spans="1:9" s="173" customFormat="1" ht="33.75">
      <c r="A26" s="19" t="s">
        <v>48</v>
      </c>
      <c r="B26" s="61">
        <f>1260000*15%</f>
        <v>189000</v>
      </c>
      <c r="C26" s="61">
        <f>1260000*30%</f>
        <v>378000</v>
      </c>
      <c r="D26" s="61">
        <f>1260000*35%</f>
        <v>441000</v>
      </c>
      <c r="E26" s="61">
        <f>1260000*20%</f>
        <v>252000</v>
      </c>
      <c r="F26" s="61">
        <v>0</v>
      </c>
      <c r="G26" s="253">
        <f>SUM(B26:F26)</f>
        <v>1260000</v>
      </c>
      <c r="H26" s="204"/>
      <c r="I26" s="189" t="s">
        <v>185</v>
      </c>
    </row>
    <row r="27" spans="1:9" s="173" customFormat="1" ht="30.75" customHeight="1">
      <c r="A27" s="19" t="s">
        <v>49</v>
      </c>
      <c r="B27" s="61">
        <f>75*1540</f>
        <v>115500</v>
      </c>
      <c r="C27" s="61"/>
      <c r="D27" s="61"/>
      <c r="E27" s="61"/>
      <c r="F27" s="61"/>
      <c r="G27" s="253">
        <f>SUM(B27:F27)</f>
        <v>115500</v>
      </c>
      <c r="H27" s="204"/>
      <c r="I27" s="208" t="s">
        <v>50</v>
      </c>
    </row>
    <row r="28" spans="1:9" s="173" customFormat="1" ht="22.5">
      <c r="A28" s="189" t="s">
        <v>51</v>
      </c>
      <c r="B28" s="61">
        <f>100*704*2.5</f>
        <v>176000</v>
      </c>
      <c r="C28" s="61"/>
      <c r="D28" s="61"/>
      <c r="E28" s="61"/>
      <c r="F28" s="61"/>
      <c r="G28" s="253">
        <f>SUM(B28:F28)</f>
        <v>176000</v>
      </c>
      <c r="H28" s="204"/>
      <c r="I28" s="208"/>
    </row>
    <row r="29" spans="1:9" s="173" customFormat="1" ht="15" customHeight="1" hidden="1">
      <c r="A29" s="189"/>
      <c r="B29" s="61"/>
      <c r="C29" s="61"/>
      <c r="D29" s="61"/>
      <c r="E29" s="61"/>
      <c r="F29" s="61"/>
      <c r="G29" s="253">
        <f>SUM(B29:F29)</f>
        <v>0</v>
      </c>
      <c r="H29" s="204"/>
      <c r="I29" s="208"/>
    </row>
    <row r="30" spans="1:9" s="173" customFormat="1" ht="33.75">
      <c r="A30" s="19" t="s">
        <v>10</v>
      </c>
      <c r="B30" s="61">
        <f>30000*15%</f>
        <v>4500</v>
      </c>
      <c r="C30" s="61">
        <f>30000*30%</f>
        <v>9000</v>
      </c>
      <c r="D30" s="61">
        <f>30000*35%</f>
        <v>10500</v>
      </c>
      <c r="E30" s="61">
        <f>30000*20%</f>
        <v>6000</v>
      </c>
      <c r="F30" s="61">
        <v>0</v>
      </c>
      <c r="G30" s="253">
        <f>SUM(B30:F30)</f>
        <v>30000</v>
      </c>
      <c r="H30" s="243"/>
      <c r="I30" s="61" t="s">
        <v>186</v>
      </c>
    </row>
    <row r="31" spans="1:9" s="173" customFormat="1" ht="12">
      <c r="A31" s="34"/>
      <c r="B31" s="206"/>
      <c r="C31" s="206"/>
      <c r="D31" s="206"/>
      <c r="E31" s="206"/>
      <c r="F31" s="206"/>
      <c r="G31" s="251"/>
      <c r="H31" s="206"/>
      <c r="I31" s="207"/>
    </row>
    <row r="32" spans="1:9" ht="14.25">
      <c r="A32" s="302" t="s">
        <v>358</v>
      </c>
      <c r="B32" s="55">
        <f>SUM(B33:B34)</f>
        <v>0</v>
      </c>
      <c r="C32" s="55">
        <f>SUM(C33:C34)</f>
        <v>0</v>
      </c>
      <c r="D32" s="55">
        <f>SUM(D33:D34)</f>
        <v>0</v>
      </c>
      <c r="E32" s="55">
        <f>SUM(E33:E34)</f>
        <v>0</v>
      </c>
      <c r="F32" s="55">
        <f>SUM(F33:F34)</f>
        <v>0</v>
      </c>
      <c r="G32" s="249">
        <f>SUM(B32:F32)</f>
        <v>0</v>
      </c>
      <c r="H32" s="61"/>
      <c r="I32" s="61"/>
    </row>
    <row r="33" spans="1:9" ht="14.25">
      <c r="A33" s="17" t="s">
        <v>408</v>
      </c>
      <c r="B33" s="61"/>
      <c r="C33" s="61"/>
      <c r="D33" s="61"/>
      <c r="E33" s="61"/>
      <c r="F33" s="61"/>
      <c r="G33" s="250"/>
      <c r="H33" s="61"/>
      <c r="I33" s="61"/>
    </row>
    <row r="34" spans="1:9" ht="14.25">
      <c r="A34" s="35"/>
      <c r="B34" s="206"/>
      <c r="C34" s="206"/>
      <c r="D34" s="206"/>
      <c r="E34" s="206"/>
      <c r="F34" s="206"/>
      <c r="G34" s="251"/>
      <c r="H34" s="206"/>
      <c r="I34" s="207"/>
    </row>
    <row r="35" spans="1:9" ht="14.25">
      <c r="A35" s="302" t="s">
        <v>355</v>
      </c>
      <c r="B35" s="55">
        <f>SUM(B36:B37)</f>
        <v>0</v>
      </c>
      <c r="C35" s="55">
        <f>SUM(C36:C37)</f>
        <v>0</v>
      </c>
      <c r="D35" s="55">
        <f>SUM(D36:D37)</f>
        <v>0</v>
      </c>
      <c r="E35" s="55">
        <f>SUM(E36:E37)</f>
        <v>0</v>
      </c>
      <c r="F35" s="55">
        <f>SUM(F36:F37)</f>
        <v>0</v>
      </c>
      <c r="G35" s="249">
        <f>SUM(B35:F35)</f>
        <v>0</v>
      </c>
      <c r="H35" s="61"/>
      <c r="I35" s="61"/>
    </row>
    <row r="36" spans="1:9" ht="14.25">
      <c r="A36" s="17" t="s">
        <v>407</v>
      </c>
      <c r="B36" s="61"/>
      <c r="C36" s="61"/>
      <c r="D36" s="61"/>
      <c r="E36" s="61"/>
      <c r="F36" s="61"/>
      <c r="G36" s="250"/>
      <c r="H36" s="61"/>
      <c r="I36" s="61"/>
    </row>
    <row r="37" spans="1:9" ht="14.25">
      <c r="A37" s="35"/>
      <c r="B37" s="206"/>
      <c r="C37" s="206"/>
      <c r="D37" s="206"/>
      <c r="E37" s="206"/>
      <c r="F37" s="206"/>
      <c r="G37" s="251"/>
      <c r="H37" s="206"/>
      <c r="I37" s="207"/>
    </row>
    <row r="38" spans="1:9" ht="14.25">
      <c r="A38" s="309" t="s">
        <v>425</v>
      </c>
      <c r="B38" s="249">
        <f aca="true" t="shared" si="0" ref="B38:G38">B7+B9+B12+B16+B20+B24+B32+B35</f>
        <v>568000</v>
      </c>
      <c r="C38" s="249">
        <f t="shared" si="0"/>
        <v>470000</v>
      </c>
      <c r="D38" s="249">
        <f t="shared" si="0"/>
        <v>534500</v>
      </c>
      <c r="E38" s="249">
        <f t="shared" si="0"/>
        <v>341000</v>
      </c>
      <c r="F38" s="249">
        <f t="shared" si="0"/>
        <v>0</v>
      </c>
      <c r="G38" s="249">
        <f t="shared" si="0"/>
        <v>1913500</v>
      </c>
      <c r="H38" s="61"/>
      <c r="I38" s="61"/>
    </row>
    <row r="39" spans="1:9" ht="14.25">
      <c r="A39" s="258"/>
      <c r="B39" s="255"/>
      <c r="C39" s="255"/>
      <c r="D39" s="255"/>
      <c r="E39" s="255"/>
      <c r="F39" s="255"/>
      <c r="G39" s="255"/>
      <c r="H39" s="203"/>
      <c r="I39" s="34"/>
    </row>
    <row r="40" spans="1:9" ht="14.25">
      <c r="A40" s="14" t="s">
        <v>371</v>
      </c>
      <c r="B40" s="10"/>
      <c r="C40" s="10"/>
      <c r="D40" s="10"/>
      <c r="E40" s="10"/>
      <c r="F40" s="10"/>
      <c r="G40" s="10"/>
      <c r="H40" s="10"/>
      <c r="I40" s="13"/>
    </row>
    <row r="41" ht="14.25">
      <c r="F41" s="193"/>
    </row>
  </sheetData>
  <sheetProtection/>
  <mergeCells count="2">
    <mergeCell ref="B4:I4"/>
    <mergeCell ref="B5:I5"/>
  </mergeCells>
  <printOptions horizontalCentered="1"/>
  <pageMargins left="0.25" right="0.25" top="0.25" bottom="0.5" header="0" footer="0.25"/>
  <pageSetup horizontalDpi="600" verticalDpi="600" orientation="landscape" paperSize="9" scale="80"/>
  <headerFooter alignWithMargins="0">
    <oddFooter>&amp;R&amp;8Page &amp;P of &amp;N
Rev: 04/15/05</oddFooter>
  </headerFooter>
  <drawing r:id="rId1"/>
</worksheet>
</file>

<file path=xl/worksheets/sheet6.xml><?xml version="1.0" encoding="utf-8"?>
<worksheet xmlns="http://schemas.openxmlformats.org/spreadsheetml/2006/main" xmlns:r="http://schemas.openxmlformats.org/officeDocument/2006/relationships">
  <sheetPr>
    <tabColor indexed="29"/>
    <pageSetUpPr fitToPage="1"/>
  </sheetPr>
  <dimension ref="A1:V47"/>
  <sheetViews>
    <sheetView view="pageBreakPreview" zoomScale="60" zoomScaleNormal="80" zoomScalePageLayoutView="0" workbookViewId="0" topLeftCell="A1">
      <selection activeCell="J23" sqref="J1:K16384"/>
    </sheetView>
  </sheetViews>
  <sheetFormatPr defaultColWidth="9.140625" defaultRowHeight="12.75"/>
  <cols>
    <col min="1" max="1" width="35.7109375" style="1" customWidth="1"/>
    <col min="2" max="6" width="12.00390625" style="1" customWidth="1"/>
    <col min="7" max="7" width="12.00390625" style="2" customWidth="1"/>
    <col min="8" max="8" width="14.421875" style="33" customWidth="1"/>
    <col min="9" max="9" width="36.421875" style="33" customWidth="1"/>
    <col min="10" max="16384" width="9.140625" style="1" customWidth="1"/>
  </cols>
  <sheetData>
    <row r="1" ht="18">
      <c r="A1" s="304" t="s">
        <v>165</v>
      </c>
    </row>
    <row r="2" spans="1:7" ht="15">
      <c r="A2" s="47" t="s">
        <v>363</v>
      </c>
      <c r="B2" s="81" t="str">
        <f>'Major Activity 1'!B2</f>
        <v>UNDP</v>
      </c>
      <c r="C2" s="10"/>
      <c r="D2" s="10"/>
      <c r="E2" s="10"/>
      <c r="F2" s="10"/>
      <c r="G2" s="13"/>
    </row>
    <row r="3" spans="1:9" ht="15">
      <c r="A3" s="47" t="s">
        <v>364</v>
      </c>
      <c r="B3" s="387" t="str">
        <f>'Major Activity 1'!B3</f>
        <v>Expansion of Successful Poverty Reduction and Women’s Empowerment Model in West Africa Project Number 45498</v>
      </c>
      <c r="C3" s="387"/>
      <c r="D3" s="387"/>
      <c r="E3" s="387"/>
      <c r="F3" s="387"/>
      <c r="G3" s="387"/>
      <c r="H3" s="387"/>
      <c r="I3" s="387"/>
    </row>
    <row r="4" spans="1:9" ht="32.25" customHeight="1">
      <c r="A4" s="49" t="s">
        <v>193</v>
      </c>
      <c r="B4" s="384" t="str">
        <f>'Snapshot |15 Major Activities'!B4:C4</f>
        <v>To enable smallholder women farmers to increase and diversify their income by developing 600 multifunctional platform-based agro-enterprises in Burkina Faso, Mali and Senegal.</v>
      </c>
      <c r="C4" s="384"/>
      <c r="D4" s="384"/>
      <c r="E4" s="384"/>
      <c r="F4" s="384"/>
      <c r="G4" s="384"/>
      <c r="H4" s="384"/>
      <c r="I4" s="384"/>
    </row>
    <row r="5" spans="1:7" ht="15.75" thickBot="1">
      <c r="A5" s="48" t="s">
        <v>351</v>
      </c>
      <c r="B5" s="36" t="str">
        <f>'Basic Info'!C27</f>
        <v>Install multifunctional platforms including depots for spare parts and equipment for artisans </v>
      </c>
      <c r="C5" s="37"/>
      <c r="D5" s="37"/>
      <c r="E5" s="37"/>
      <c r="F5" s="37"/>
      <c r="G5" s="38"/>
    </row>
    <row r="6" spans="1:9" s="3" customFormat="1" ht="32.25" customHeight="1">
      <c r="A6" s="53" t="s">
        <v>404</v>
      </c>
      <c r="B6" s="51" t="s">
        <v>405</v>
      </c>
      <c r="C6" s="51" t="s">
        <v>409</v>
      </c>
      <c r="D6" s="51" t="s">
        <v>410</v>
      </c>
      <c r="E6" s="51" t="s">
        <v>171</v>
      </c>
      <c r="F6" s="51" t="s">
        <v>169</v>
      </c>
      <c r="G6" s="248" t="s">
        <v>411</v>
      </c>
      <c r="H6" s="52" t="s">
        <v>374</v>
      </c>
      <c r="I6" s="54" t="s">
        <v>362</v>
      </c>
    </row>
    <row r="7" spans="1:22" s="5" customFormat="1" ht="14.25">
      <c r="A7" s="302" t="s">
        <v>353</v>
      </c>
      <c r="B7" s="176">
        <f>SUM(B8:B10)</f>
        <v>48000</v>
      </c>
      <c r="C7" s="176">
        <f>SUM(C8:C10)</f>
        <v>32000</v>
      </c>
      <c r="D7" s="176">
        <f>SUM(D8:D10)</f>
        <v>24000</v>
      </c>
      <c r="E7" s="176">
        <f>SUM(E8:E10)</f>
        <v>8000</v>
      </c>
      <c r="F7" s="176">
        <f>SUM(F8:F10)</f>
        <v>0</v>
      </c>
      <c r="G7" s="249">
        <f>SUM(B7:F7)</f>
        <v>112000</v>
      </c>
      <c r="H7" s="11"/>
      <c r="I7" s="11"/>
      <c r="J7" s="4"/>
      <c r="K7" s="4"/>
      <c r="L7" s="4"/>
      <c r="M7" s="4"/>
      <c r="N7" s="4"/>
      <c r="O7" s="4"/>
      <c r="P7" s="4"/>
      <c r="Q7" s="4"/>
      <c r="R7" s="4"/>
      <c r="S7" s="4"/>
      <c r="T7" s="4"/>
      <c r="U7" s="4"/>
      <c r="V7" s="4"/>
    </row>
    <row r="8" spans="1:9" ht="45">
      <c r="A8" s="19" t="s">
        <v>35</v>
      </c>
      <c r="B8" s="56">
        <f>8000*6</f>
        <v>48000</v>
      </c>
      <c r="C8" s="56">
        <f>8000*4</f>
        <v>32000</v>
      </c>
      <c r="D8" s="56">
        <f>8000*3</f>
        <v>24000</v>
      </c>
      <c r="E8" s="56">
        <f>8000*1</f>
        <v>8000</v>
      </c>
      <c r="F8" s="56"/>
      <c r="G8" s="250"/>
      <c r="H8" s="18"/>
      <c r="I8" s="11" t="s">
        <v>34</v>
      </c>
    </row>
    <row r="9" spans="1:9" s="173" customFormat="1" ht="12">
      <c r="A9" s="19"/>
      <c r="B9" s="61"/>
      <c r="C9" s="61"/>
      <c r="D9" s="61"/>
      <c r="E9" s="61"/>
      <c r="F9" s="56"/>
      <c r="G9" s="250"/>
      <c r="H9" s="175"/>
      <c r="I9" s="19"/>
    </row>
    <row r="10" spans="1:9" s="173" customFormat="1" ht="12">
      <c r="A10" s="174"/>
      <c r="B10" s="232"/>
      <c r="C10" s="196"/>
      <c r="D10" s="196"/>
      <c r="E10" s="196"/>
      <c r="F10" s="196"/>
      <c r="G10" s="251"/>
      <c r="H10" s="174"/>
      <c r="I10" s="242"/>
    </row>
    <row r="11" spans="1:9" ht="14.25">
      <c r="A11" s="302" t="s">
        <v>354</v>
      </c>
      <c r="B11" s="176">
        <f>SUM(B12:B13)</f>
        <v>0</v>
      </c>
      <c r="C11" s="176">
        <f>SUM(C12:C13)</f>
        <v>0</v>
      </c>
      <c r="D11" s="176">
        <f>SUM(D12:D13)</f>
        <v>0</v>
      </c>
      <c r="E11" s="176">
        <f>SUM(E12:E13)</f>
        <v>0</v>
      </c>
      <c r="F11" s="176">
        <f>SUM(F12:F13)</f>
        <v>0</v>
      </c>
      <c r="G11" s="249">
        <f>SUM(B11:F11)</f>
        <v>0</v>
      </c>
      <c r="H11" s="18"/>
      <c r="I11" s="11"/>
    </row>
    <row r="12" spans="1:9" ht="14.25">
      <c r="A12" s="17" t="s">
        <v>406</v>
      </c>
      <c r="B12" s="56"/>
      <c r="C12" s="56"/>
      <c r="D12" s="56"/>
      <c r="E12" s="56"/>
      <c r="F12" s="56"/>
      <c r="G12" s="250"/>
      <c r="H12" s="18"/>
      <c r="I12" s="11"/>
    </row>
    <row r="13" spans="1:9" ht="14.25">
      <c r="A13" s="23"/>
      <c r="B13" s="195"/>
      <c r="C13" s="195"/>
      <c r="D13" s="195"/>
      <c r="E13" s="195"/>
      <c r="F13" s="195"/>
      <c r="G13" s="252"/>
      <c r="H13" s="24"/>
      <c r="I13" s="23"/>
    </row>
    <row r="14" spans="1:9" ht="15">
      <c r="A14" s="308" t="s">
        <v>352</v>
      </c>
      <c r="B14" s="176">
        <f>SUM(B15:B18)</f>
        <v>22500</v>
      </c>
      <c r="C14" s="176">
        <f>SUM(C15:C18)</f>
        <v>45000</v>
      </c>
      <c r="D14" s="176">
        <f>SUM(D15:D18)</f>
        <v>52500</v>
      </c>
      <c r="E14" s="176">
        <f>SUM(E15:E18)</f>
        <v>30000</v>
      </c>
      <c r="F14" s="176">
        <f>SUM(F15:F18)</f>
        <v>0</v>
      </c>
      <c r="G14" s="249">
        <f>SUM(B14:F14)</f>
        <v>150000</v>
      </c>
      <c r="H14" s="11"/>
      <c r="I14" s="11"/>
    </row>
    <row r="15" spans="1:9" ht="14.25">
      <c r="A15" s="19" t="s">
        <v>370</v>
      </c>
      <c r="B15" s="197"/>
      <c r="C15" s="197"/>
      <c r="D15" s="197"/>
      <c r="E15" s="197"/>
      <c r="F15" s="197"/>
      <c r="G15" s="253"/>
      <c r="H15" s="1"/>
      <c r="I15" s="2"/>
    </row>
    <row r="16" spans="1:9" ht="56.25">
      <c r="A16" s="19" t="s">
        <v>12</v>
      </c>
      <c r="B16" s="61">
        <f>150000*15%</f>
        <v>22500</v>
      </c>
      <c r="C16" s="61">
        <f>150000*30%</f>
        <v>45000</v>
      </c>
      <c r="D16" s="61">
        <f>150000*35%</f>
        <v>52500</v>
      </c>
      <c r="E16" s="61">
        <f>150000*20%</f>
        <v>30000</v>
      </c>
      <c r="F16" s="61">
        <v>0</v>
      </c>
      <c r="G16" s="253">
        <f>SUM(B16:F16)</f>
        <v>150000</v>
      </c>
      <c r="H16" s="1"/>
      <c r="I16" s="11" t="s">
        <v>11</v>
      </c>
    </row>
    <row r="17" spans="1:9" ht="14.25">
      <c r="A17" s="19"/>
      <c r="B17" s="61"/>
      <c r="C17" s="61"/>
      <c r="D17" s="61"/>
      <c r="E17" s="61"/>
      <c r="F17" s="61"/>
      <c r="G17" s="253"/>
      <c r="H17" s="1"/>
      <c r="I17" s="2"/>
    </row>
    <row r="18" spans="1:9" ht="14.25">
      <c r="A18" s="19"/>
      <c r="B18" s="61"/>
      <c r="C18" s="61"/>
      <c r="D18" s="61"/>
      <c r="E18" s="61"/>
      <c r="F18" s="61"/>
      <c r="G18" s="253"/>
      <c r="H18" s="1"/>
      <c r="I18" s="188"/>
    </row>
    <row r="19" spans="1:9" ht="14.25">
      <c r="A19" s="200"/>
      <c r="B19" s="35"/>
      <c r="C19" s="35"/>
      <c r="D19" s="35"/>
      <c r="E19" s="35"/>
      <c r="F19" s="35"/>
      <c r="G19" s="251"/>
      <c r="H19" s="35"/>
      <c r="I19" s="168"/>
    </row>
    <row r="20" spans="1:9" ht="14.25">
      <c r="A20" s="303" t="s">
        <v>359</v>
      </c>
      <c r="B20" s="176">
        <f>SUM(B21:B24)</f>
        <v>40500</v>
      </c>
      <c r="C20" s="176">
        <f>SUM(C21:C24)</f>
        <v>81000</v>
      </c>
      <c r="D20" s="176">
        <f>SUM(D21:D24)</f>
        <v>94499.99999999999</v>
      </c>
      <c r="E20" s="176">
        <f>SUM(E21:E24)</f>
        <v>54000</v>
      </c>
      <c r="F20" s="176">
        <f>SUM(F21:F24)</f>
        <v>0</v>
      </c>
      <c r="G20" s="249">
        <f>SUM(B20:F20)</f>
        <v>270000</v>
      </c>
      <c r="H20" s="11"/>
      <c r="I20" s="11"/>
    </row>
    <row r="21" spans="1:9" ht="14.25">
      <c r="A21" s="132" t="s">
        <v>406</v>
      </c>
      <c r="B21" s="197"/>
      <c r="C21" s="197"/>
      <c r="D21" s="197"/>
      <c r="E21" s="197"/>
      <c r="F21" s="197"/>
      <c r="G21" s="253"/>
      <c r="H21" s="1"/>
      <c r="I21" s="2"/>
    </row>
    <row r="22" spans="1:9" ht="33.75">
      <c r="A22" s="19" t="s">
        <v>13</v>
      </c>
      <c r="B22" s="61">
        <f>180000*15%</f>
        <v>27000</v>
      </c>
      <c r="C22" s="61">
        <f>180000*30%</f>
        <v>54000</v>
      </c>
      <c r="D22" s="61">
        <f>180000*35%</f>
        <v>62999.99999999999</v>
      </c>
      <c r="E22" s="61">
        <f>180000*20%</f>
        <v>36000</v>
      </c>
      <c r="F22" s="61">
        <v>0</v>
      </c>
      <c r="G22" s="253">
        <f>SUM(B22:F22)</f>
        <v>180000</v>
      </c>
      <c r="H22" s="1"/>
      <c r="I22" s="188" t="s">
        <v>446</v>
      </c>
    </row>
    <row r="23" spans="1:9" ht="33.75">
      <c r="A23" s="19" t="s">
        <v>14</v>
      </c>
      <c r="B23" s="61">
        <f>90000*15%</f>
        <v>13500</v>
      </c>
      <c r="C23" s="61">
        <f>90000*30%</f>
        <v>27000</v>
      </c>
      <c r="D23" s="61">
        <f>90000*35%</f>
        <v>31499.999999999996</v>
      </c>
      <c r="E23" s="61">
        <f>90000*20%</f>
        <v>18000</v>
      </c>
      <c r="F23" s="61">
        <v>0</v>
      </c>
      <c r="G23" s="253">
        <f>SUM(B23:F23)</f>
        <v>90000</v>
      </c>
      <c r="H23" s="1"/>
      <c r="I23" s="188" t="s">
        <v>482</v>
      </c>
    </row>
    <row r="24" spans="1:9" ht="14.25">
      <c r="A24" s="200"/>
      <c r="B24" s="196"/>
      <c r="C24" s="196"/>
      <c r="D24" s="196"/>
      <c r="E24" s="196"/>
      <c r="F24" s="196"/>
      <c r="G24" s="251"/>
      <c r="H24" s="35"/>
      <c r="I24" s="168"/>
    </row>
    <row r="25" spans="1:9" ht="14.25">
      <c r="A25" s="303" t="s">
        <v>356</v>
      </c>
      <c r="B25" s="176">
        <f>SUM(B26:B27)</f>
        <v>0</v>
      </c>
      <c r="C25" s="176">
        <f>SUM(C26:C27)</f>
        <v>0</v>
      </c>
      <c r="D25" s="176">
        <f>SUM(D26:D27)</f>
        <v>0</v>
      </c>
      <c r="E25" s="176">
        <f>SUM(E26:E27)</f>
        <v>0</v>
      </c>
      <c r="F25" s="176">
        <f>SUM(F26:F27)</f>
        <v>0</v>
      </c>
      <c r="G25" s="249">
        <f>SUM(B25:F25)</f>
        <v>0</v>
      </c>
      <c r="H25" s="18"/>
      <c r="I25" s="11"/>
    </row>
    <row r="26" spans="1:9" ht="12" customHeight="1">
      <c r="A26" s="132" t="s">
        <v>407</v>
      </c>
      <c r="B26" s="56"/>
      <c r="C26" s="56"/>
      <c r="D26" s="56"/>
      <c r="E26" s="56"/>
      <c r="F26" s="56"/>
      <c r="G26" s="249"/>
      <c r="H26" s="18"/>
      <c r="I26" s="11"/>
    </row>
    <row r="27" spans="1:9" ht="14.25">
      <c r="A27" s="256"/>
      <c r="B27" s="61"/>
      <c r="C27" s="61"/>
      <c r="D27" s="61"/>
      <c r="E27" s="61"/>
      <c r="F27" s="61"/>
      <c r="G27" s="254"/>
      <c r="I27" s="188"/>
    </row>
    <row r="28" spans="1:9" ht="14.25">
      <c r="A28" s="237"/>
      <c r="B28" s="195"/>
      <c r="C28" s="195"/>
      <c r="D28" s="196"/>
      <c r="E28" s="196"/>
      <c r="F28" s="196"/>
      <c r="G28" s="251"/>
      <c r="H28" s="35"/>
      <c r="I28" s="168"/>
    </row>
    <row r="29" spans="1:9" ht="14.25">
      <c r="A29" s="303" t="s">
        <v>357</v>
      </c>
      <c r="B29" s="176">
        <f>SUM(B30:B33)</f>
        <v>0</v>
      </c>
      <c r="C29" s="176">
        <f>SUM(C30:C33)</f>
        <v>0</v>
      </c>
      <c r="D29" s="176">
        <f>SUM(D30:D33)</f>
        <v>0</v>
      </c>
      <c r="E29" s="176">
        <f>SUM(E30:E33)</f>
        <v>0</v>
      </c>
      <c r="F29" s="176">
        <f>SUM(F30:F33)</f>
        <v>0</v>
      </c>
      <c r="G29" s="249">
        <f>SUM(B29:F29)</f>
        <v>0</v>
      </c>
      <c r="H29" s="11"/>
      <c r="I29" s="11"/>
    </row>
    <row r="30" spans="1:9" ht="14.25">
      <c r="A30" s="132" t="s">
        <v>406</v>
      </c>
      <c r="B30" s="61"/>
      <c r="C30" s="61"/>
      <c r="D30" s="61"/>
      <c r="E30" s="61"/>
      <c r="F30" s="61"/>
      <c r="G30" s="250"/>
      <c r="H30" s="43"/>
      <c r="I30" s="240"/>
    </row>
    <row r="31" spans="1:9" ht="12.75" customHeight="1">
      <c r="A31" s="205"/>
      <c r="B31" s="61"/>
      <c r="C31" s="61"/>
      <c r="D31" s="61"/>
      <c r="E31" s="61"/>
      <c r="F31" s="61"/>
      <c r="G31" s="253"/>
      <c r="H31" s="86"/>
      <c r="I31" s="11"/>
    </row>
    <row r="32" spans="1:9" ht="14.25">
      <c r="A32" s="19"/>
      <c r="B32" s="61"/>
      <c r="C32" s="61"/>
      <c r="D32" s="61"/>
      <c r="E32" s="61"/>
      <c r="F32" s="61"/>
      <c r="G32" s="253"/>
      <c r="H32" s="86"/>
      <c r="I32" s="240"/>
    </row>
    <row r="33" spans="1:9" ht="14.25">
      <c r="A33" s="200"/>
      <c r="B33" s="206"/>
      <c r="C33" s="206"/>
      <c r="D33" s="206"/>
      <c r="E33" s="206"/>
      <c r="F33" s="206"/>
      <c r="G33" s="251"/>
      <c r="H33" s="200"/>
      <c r="I33" s="241"/>
    </row>
    <row r="34" spans="1:9" ht="14.25">
      <c r="A34" s="303" t="s">
        <v>358</v>
      </c>
      <c r="B34" s="176">
        <f>SUM(B35:B36)</f>
        <v>0</v>
      </c>
      <c r="C34" s="176">
        <f>SUM(C35:C36)</f>
        <v>0</v>
      </c>
      <c r="D34" s="176">
        <f>SUM(D35:D36)</f>
        <v>0</v>
      </c>
      <c r="E34" s="176">
        <f>SUM(E35:E36)</f>
        <v>0</v>
      </c>
      <c r="F34" s="176">
        <f>SUM(F35:F36)</f>
        <v>0</v>
      </c>
      <c r="G34" s="249">
        <f>SUM(B34:F34)</f>
        <v>0</v>
      </c>
      <c r="H34" s="11"/>
      <c r="I34" s="11"/>
    </row>
    <row r="35" spans="1:9" ht="14.25">
      <c r="A35" s="132" t="s">
        <v>408</v>
      </c>
      <c r="B35" s="56"/>
      <c r="C35" s="56"/>
      <c r="D35" s="56"/>
      <c r="E35" s="56"/>
      <c r="F35" s="56"/>
      <c r="G35" s="250"/>
      <c r="H35" s="18"/>
      <c r="I35" s="11"/>
    </row>
    <row r="36" spans="1:9" ht="14.25">
      <c r="A36" s="200"/>
      <c r="B36" s="196"/>
      <c r="C36" s="196"/>
      <c r="D36" s="196"/>
      <c r="E36" s="196"/>
      <c r="F36" s="196"/>
      <c r="G36" s="251"/>
      <c r="H36" s="35"/>
      <c r="I36" s="168"/>
    </row>
    <row r="37" spans="1:9" ht="14.25">
      <c r="A37" s="303" t="s">
        <v>355</v>
      </c>
      <c r="B37" s="176">
        <f>SUM(B38:B44)</f>
        <v>562500</v>
      </c>
      <c r="C37" s="176">
        <f>SUM(C38:C44)</f>
        <v>1125000</v>
      </c>
      <c r="D37" s="176">
        <f>SUM(D38:D44)</f>
        <v>1382500</v>
      </c>
      <c r="E37" s="176">
        <f>SUM(E38:E44)</f>
        <v>790000</v>
      </c>
      <c r="F37" s="176">
        <f>SUM(F38:F44)</f>
        <v>0</v>
      </c>
      <c r="G37" s="249">
        <f>SUM(B37:F37)</f>
        <v>3860000</v>
      </c>
      <c r="H37" s="11"/>
      <c r="I37" s="11"/>
    </row>
    <row r="38" spans="1:9" ht="14.25">
      <c r="A38" s="132" t="s">
        <v>407</v>
      </c>
      <c r="B38" s="56"/>
      <c r="C38" s="56"/>
      <c r="D38" s="56"/>
      <c r="E38" s="56"/>
      <c r="F38" s="56"/>
      <c r="G38" s="250"/>
      <c r="H38" s="18"/>
      <c r="I38" s="11"/>
    </row>
    <row r="39" spans="1:9" ht="14.25">
      <c r="A39" s="19"/>
      <c r="B39" s="176"/>
      <c r="C39" s="176"/>
      <c r="D39" s="176"/>
      <c r="E39" s="176"/>
      <c r="F39" s="176"/>
      <c r="G39" s="250"/>
      <c r="H39" s="18"/>
      <c r="I39" s="11"/>
    </row>
    <row r="40" spans="1:9" ht="45">
      <c r="A40" s="240" t="s">
        <v>15</v>
      </c>
      <c r="B40" s="61">
        <f>3375000*15%</f>
        <v>506250</v>
      </c>
      <c r="C40" s="61">
        <f>3375000*30%</f>
        <v>1012500</v>
      </c>
      <c r="D40" s="61">
        <f>3375000*35%</f>
        <v>1181250</v>
      </c>
      <c r="E40" s="61">
        <f>3375000*20%</f>
        <v>675000</v>
      </c>
      <c r="F40" s="61">
        <v>0</v>
      </c>
      <c r="G40" s="253"/>
      <c r="H40" s="193"/>
      <c r="I40" s="11" t="s">
        <v>131</v>
      </c>
    </row>
    <row r="41" spans="1:9" ht="14.25">
      <c r="A41" s="240"/>
      <c r="B41" s="61"/>
      <c r="C41" s="61"/>
      <c r="D41" s="61"/>
      <c r="E41" s="61"/>
      <c r="F41" s="61"/>
      <c r="G41" s="253"/>
      <c r="H41" s="1"/>
      <c r="I41" s="177"/>
    </row>
    <row r="42" spans="1:9" ht="67.5">
      <c r="A42" s="240" t="s">
        <v>16</v>
      </c>
      <c r="B42" s="61">
        <f>75000*15%</f>
        <v>11250</v>
      </c>
      <c r="C42" s="61">
        <f>75000*30%</f>
        <v>22500</v>
      </c>
      <c r="D42" s="61">
        <f>75000*35%</f>
        <v>26250</v>
      </c>
      <c r="E42" s="61">
        <f>75000*20%</f>
        <v>15000</v>
      </c>
      <c r="F42" s="61">
        <v>0</v>
      </c>
      <c r="G42" s="254"/>
      <c r="I42" s="11" t="s">
        <v>132</v>
      </c>
    </row>
    <row r="43" spans="1:9" ht="39.75" customHeight="1">
      <c r="A43" s="240" t="s">
        <v>17</v>
      </c>
      <c r="B43" s="61">
        <f>300000*15%</f>
        <v>45000</v>
      </c>
      <c r="C43" s="61">
        <f>300000*30%</f>
        <v>90000</v>
      </c>
      <c r="D43" s="61">
        <f>500000*35%</f>
        <v>175000</v>
      </c>
      <c r="E43" s="61">
        <f>500000*20%</f>
        <v>100000</v>
      </c>
      <c r="F43" s="61">
        <v>0</v>
      </c>
      <c r="G43" s="254"/>
      <c r="I43" s="19" t="s">
        <v>483</v>
      </c>
    </row>
    <row r="44" spans="1:9" ht="14.25">
      <c r="A44" s="293"/>
      <c r="B44" s="61"/>
      <c r="C44" s="61"/>
      <c r="D44" s="61"/>
      <c r="E44" s="61"/>
      <c r="F44" s="61"/>
      <c r="G44" s="254"/>
      <c r="I44" s="11"/>
    </row>
    <row r="45" spans="1:9" ht="14.25">
      <c r="A45" s="174"/>
      <c r="B45" s="207"/>
      <c r="C45" s="207"/>
      <c r="D45" s="207"/>
      <c r="E45" s="207"/>
      <c r="F45" s="207"/>
      <c r="G45" s="251"/>
      <c r="H45" s="35"/>
      <c r="I45" s="168"/>
    </row>
    <row r="46" spans="1:9" ht="14.25">
      <c r="A46" s="309" t="s">
        <v>66</v>
      </c>
      <c r="B46" s="249">
        <f aca="true" t="shared" si="0" ref="B46:G46">SUM(B7,B11,B14,B20,B25,B29,B34,B37)</f>
        <v>673500</v>
      </c>
      <c r="C46" s="249">
        <f t="shared" si="0"/>
        <v>1283000</v>
      </c>
      <c r="D46" s="249">
        <f t="shared" si="0"/>
        <v>1553500</v>
      </c>
      <c r="E46" s="249">
        <f t="shared" si="0"/>
        <v>882000</v>
      </c>
      <c r="F46" s="249">
        <f t="shared" si="0"/>
        <v>0</v>
      </c>
      <c r="G46" s="249">
        <f t="shared" si="0"/>
        <v>4392000</v>
      </c>
      <c r="H46" s="20"/>
      <c r="I46" s="11"/>
    </row>
    <row r="47" spans="1:9" ht="14.25">
      <c r="A47" s="258"/>
      <c r="B47" s="255"/>
      <c r="C47" s="255"/>
      <c r="D47" s="255"/>
      <c r="E47" s="255"/>
      <c r="F47" s="255"/>
      <c r="G47" s="255"/>
      <c r="H47" s="27"/>
      <c r="I47" s="23"/>
    </row>
  </sheetData>
  <sheetProtection/>
  <mergeCells count="2">
    <mergeCell ref="B4:I4"/>
    <mergeCell ref="B3:I3"/>
  </mergeCells>
  <printOptions horizontalCentered="1"/>
  <pageMargins left="0.2362204724409449" right="0.2362204724409449" top="0.2362204724409449" bottom="0.5118110236220472" header="0" footer="0.2362204724409449"/>
  <pageSetup fitToHeight="1" fitToWidth="1" horizontalDpi="600" verticalDpi="600" orientation="landscape" paperSize="9" scale="60" r:id="rId2"/>
  <headerFooter alignWithMargins="0">
    <oddFooter>&amp;R&amp;8Page &amp;P of &amp;N
Rev: 04/15/05</oddFooter>
  </headerFooter>
  <drawing r:id="rId1"/>
</worksheet>
</file>

<file path=xl/worksheets/sheet7.xml><?xml version="1.0" encoding="utf-8"?>
<worksheet xmlns="http://schemas.openxmlformats.org/spreadsheetml/2006/main" xmlns:r="http://schemas.openxmlformats.org/officeDocument/2006/relationships">
  <sheetPr>
    <tabColor indexed="29"/>
    <pageSetUpPr fitToPage="1"/>
  </sheetPr>
  <dimension ref="A1:J60"/>
  <sheetViews>
    <sheetView view="pageBreakPreview" zoomScaleNormal="75" zoomScaleSheetLayoutView="100" zoomScalePageLayoutView="0" workbookViewId="0" topLeftCell="A1">
      <selection activeCell="I1" sqref="B1:K16384"/>
    </sheetView>
  </sheetViews>
  <sheetFormatPr defaultColWidth="9.140625" defaultRowHeight="12.75"/>
  <cols>
    <col min="1" max="1" width="38.421875" style="1" customWidth="1"/>
    <col min="2" max="7" width="12.00390625" style="1" customWidth="1"/>
    <col min="8" max="8" width="14.421875" style="1" hidden="1" customWidth="1"/>
    <col min="9" max="9" width="43.421875" style="1" customWidth="1"/>
    <col min="10" max="16384" width="9.140625" style="1" customWidth="1"/>
  </cols>
  <sheetData>
    <row r="1" spans="1:7" ht="18">
      <c r="A1" s="304" t="s">
        <v>165</v>
      </c>
      <c r="G1" s="2"/>
    </row>
    <row r="2" spans="1:7" ht="18">
      <c r="A2" s="304"/>
      <c r="G2" s="2"/>
    </row>
    <row r="3" spans="1:7" ht="15">
      <c r="A3" s="47" t="s">
        <v>363</v>
      </c>
      <c r="B3" s="78" t="str">
        <f>'Major Activity 1'!B2</f>
        <v>UNDP</v>
      </c>
      <c r="C3" s="10"/>
      <c r="D3" s="10"/>
      <c r="E3" s="10"/>
      <c r="F3" s="10"/>
      <c r="G3" s="13"/>
    </row>
    <row r="4" spans="1:7" ht="15">
      <c r="A4" s="47" t="s">
        <v>364</v>
      </c>
      <c r="B4" s="78" t="str">
        <f>'Major Activity 1'!B3</f>
        <v>Expansion of Successful Poverty Reduction and Women’s Empowerment Model in West Africa Project Number 45498</v>
      </c>
      <c r="C4" s="10"/>
      <c r="D4" s="10"/>
      <c r="E4" s="10"/>
      <c r="F4" s="10"/>
      <c r="G4" s="13"/>
    </row>
    <row r="5" spans="1:9" ht="33.75" customHeight="1">
      <c r="A5" s="49" t="s">
        <v>193</v>
      </c>
      <c r="B5" s="384" t="str">
        <f>'Snapshot |15 Major Activities'!B4:C4</f>
        <v>To enable smallholder women farmers to increase and diversify their income by developing 600 multifunctional platform-based agro-enterprises in Burkina Faso, Mali and Senegal.</v>
      </c>
      <c r="C5" s="384"/>
      <c r="D5" s="384"/>
      <c r="E5" s="384"/>
      <c r="F5" s="384"/>
      <c r="G5" s="384"/>
      <c r="H5" s="384"/>
      <c r="I5" s="384"/>
    </row>
    <row r="6" spans="1:7" ht="26.25" customHeight="1" thickBot="1">
      <c r="A6" s="48" t="s">
        <v>375</v>
      </c>
      <c r="B6" s="269" t="str">
        <f>'Basic Info'!C28</f>
        <v>Conduct village-level monitoring and evaluation, including data gathering for detailed thematic assessments and gender analysis</v>
      </c>
      <c r="C6" s="37"/>
      <c r="D6" s="37"/>
      <c r="E6" s="37"/>
      <c r="F6" s="37"/>
      <c r="G6" s="38"/>
    </row>
    <row r="7" spans="1:9" s="3" customFormat="1" ht="31.5" customHeight="1">
      <c r="A7" s="53" t="s">
        <v>404</v>
      </c>
      <c r="B7" s="51" t="s">
        <v>405</v>
      </c>
      <c r="C7" s="51" t="s">
        <v>409</v>
      </c>
      <c r="D7" s="51" t="s">
        <v>410</v>
      </c>
      <c r="E7" s="51" t="s">
        <v>171</v>
      </c>
      <c r="F7" s="51" t="s">
        <v>169</v>
      </c>
      <c r="G7" s="248" t="s">
        <v>411</v>
      </c>
      <c r="H7" s="52" t="s">
        <v>374</v>
      </c>
      <c r="I7" s="54" t="s">
        <v>362</v>
      </c>
    </row>
    <row r="8" spans="1:9" ht="14.25">
      <c r="A8" s="302" t="s">
        <v>353</v>
      </c>
      <c r="B8" s="176">
        <f>SUM(B9:B11)</f>
        <v>64000</v>
      </c>
      <c r="C8" s="176">
        <f>SUM(C9:C11)</f>
        <v>64000</v>
      </c>
      <c r="D8" s="176">
        <f>SUM(D9:D11)</f>
        <v>64000</v>
      </c>
      <c r="E8" s="176">
        <f>SUM(E9:E11)</f>
        <v>48000</v>
      </c>
      <c r="F8" s="176">
        <f>SUM(F9:F11)</f>
        <v>0</v>
      </c>
      <c r="G8" s="249">
        <f>SUM(B8:F8)</f>
        <v>240000</v>
      </c>
      <c r="H8" s="11"/>
      <c r="I8" s="11"/>
    </row>
    <row r="9" spans="1:9" ht="51" customHeight="1">
      <c r="A9" s="19" t="s">
        <v>160</v>
      </c>
      <c r="B9" s="61">
        <f>8000*2*2</f>
        <v>32000</v>
      </c>
      <c r="C9" s="61">
        <f>8000*2*2</f>
        <v>32000</v>
      </c>
      <c r="D9" s="61">
        <f>8000*2*2</f>
        <v>32000</v>
      </c>
      <c r="E9" s="61">
        <f>8000*2*2</f>
        <v>32000</v>
      </c>
      <c r="F9" s="61">
        <v>0</v>
      </c>
      <c r="G9" s="250"/>
      <c r="H9" s="43"/>
      <c r="I9" s="225" t="s">
        <v>161</v>
      </c>
    </row>
    <row r="10" spans="1:9" ht="33.75">
      <c r="A10" s="205" t="s">
        <v>133</v>
      </c>
      <c r="B10" s="61">
        <f>8000*3</f>
        <v>24000</v>
      </c>
      <c r="C10" s="61">
        <f>8000*3</f>
        <v>24000</v>
      </c>
      <c r="D10" s="61">
        <f>8000*3</f>
        <v>24000</v>
      </c>
      <c r="E10" s="61">
        <f>8000*2</f>
        <v>16000</v>
      </c>
      <c r="F10" s="61">
        <v>0</v>
      </c>
      <c r="G10" s="250"/>
      <c r="H10" s="43"/>
      <c r="I10" s="19" t="s">
        <v>93</v>
      </c>
    </row>
    <row r="11" spans="1:9" ht="48.75" customHeight="1">
      <c r="A11" s="19" t="s">
        <v>458</v>
      </c>
      <c r="B11" s="61">
        <f>8000*1</f>
        <v>8000</v>
      </c>
      <c r="C11" s="61">
        <f>8000*1</f>
        <v>8000</v>
      </c>
      <c r="D11" s="61">
        <f>8000*1</f>
        <v>8000</v>
      </c>
      <c r="E11" s="61">
        <v>0</v>
      </c>
      <c r="F11" s="61">
        <v>0</v>
      </c>
      <c r="G11" s="250"/>
      <c r="H11" s="43"/>
      <c r="I11" s="19" t="s">
        <v>67</v>
      </c>
    </row>
    <row r="12" spans="1:9" ht="14.25">
      <c r="A12" s="23"/>
      <c r="B12" s="195"/>
      <c r="C12" s="195"/>
      <c r="D12" s="195"/>
      <c r="E12" s="195"/>
      <c r="F12" s="195"/>
      <c r="G12" s="252"/>
      <c r="H12" s="24"/>
      <c r="I12" s="23"/>
    </row>
    <row r="13" spans="1:9" ht="15">
      <c r="A13" s="308" t="s">
        <v>352</v>
      </c>
      <c r="B13" s="176">
        <f>SUM(B14:B22)</f>
        <v>96000</v>
      </c>
      <c r="C13" s="176">
        <f>SUM(C14:C22)</f>
        <v>170500</v>
      </c>
      <c r="D13" s="176">
        <f>SUM(D14:D22)</f>
        <v>130500</v>
      </c>
      <c r="E13" s="176">
        <f>SUM(E14:E22)</f>
        <v>123000</v>
      </c>
      <c r="F13" s="176">
        <f>SUM(F14:F22)</f>
        <v>0</v>
      </c>
      <c r="G13" s="249">
        <f>SUM(B13:F13)</f>
        <v>520000</v>
      </c>
      <c r="H13" s="11"/>
      <c r="I13" s="11"/>
    </row>
    <row r="14" spans="1:9" ht="14.25">
      <c r="A14" s="19" t="s">
        <v>370</v>
      </c>
      <c r="B14" s="197"/>
      <c r="C14" s="197"/>
      <c r="D14" s="197"/>
      <c r="E14" s="197"/>
      <c r="F14" s="197"/>
      <c r="G14" s="253"/>
      <c r="I14" s="13"/>
    </row>
    <row r="15" spans="1:9" ht="45" customHeight="1">
      <c r="A15" s="19" t="s">
        <v>542</v>
      </c>
      <c r="B15" s="61">
        <f>2500*3*2</f>
        <v>15000</v>
      </c>
      <c r="C15" s="61">
        <f>2500*3*2</f>
        <v>15000</v>
      </c>
      <c r="D15" s="61">
        <f>2500*3*2</f>
        <v>15000</v>
      </c>
      <c r="E15" s="61">
        <f>2500*3*2</f>
        <v>15000</v>
      </c>
      <c r="F15" s="61">
        <v>0</v>
      </c>
      <c r="G15" s="253"/>
      <c r="H15" s="86"/>
      <c r="I15" s="189" t="s">
        <v>543</v>
      </c>
    </row>
    <row r="16" spans="1:9" ht="28.5" customHeight="1">
      <c r="A16" s="189" t="s">
        <v>18</v>
      </c>
      <c r="B16" s="61">
        <f>1500*6</f>
        <v>9000</v>
      </c>
      <c r="C16" s="61">
        <f>1500*9</f>
        <v>13500</v>
      </c>
      <c r="D16" s="61">
        <f>1500*9</f>
        <v>13500</v>
      </c>
      <c r="E16" s="61">
        <f>1500*9</f>
        <v>13500</v>
      </c>
      <c r="F16" s="61">
        <v>0</v>
      </c>
      <c r="G16" s="253"/>
      <c r="H16" s="86"/>
      <c r="I16" s="257" t="s">
        <v>68</v>
      </c>
    </row>
    <row r="17" spans="1:9" ht="33.75">
      <c r="A17" s="19" t="s">
        <v>544</v>
      </c>
      <c r="B17" s="61">
        <f>2500*3*2</f>
        <v>15000</v>
      </c>
      <c r="C17" s="61">
        <f>2500*3*2</f>
        <v>15000</v>
      </c>
      <c r="D17" s="61">
        <f>2500*3*2</f>
        <v>15000</v>
      </c>
      <c r="E17" s="61">
        <f>2500*3*2</f>
        <v>15000</v>
      </c>
      <c r="F17" s="61"/>
      <c r="G17" s="253"/>
      <c r="I17" s="189" t="s">
        <v>479</v>
      </c>
    </row>
    <row r="18" spans="1:9" ht="45">
      <c r="A18" s="19" t="s">
        <v>21</v>
      </c>
      <c r="B18" s="61">
        <f>1500*6*3</f>
        <v>27000</v>
      </c>
      <c r="C18" s="61">
        <f>1500*9*3</f>
        <v>40500</v>
      </c>
      <c r="D18" s="61">
        <f>1500*9*3</f>
        <v>40500</v>
      </c>
      <c r="E18" s="61">
        <f>1500*9*3</f>
        <v>40500</v>
      </c>
      <c r="F18" s="61">
        <v>0</v>
      </c>
      <c r="G18" s="253"/>
      <c r="I18" s="13" t="s">
        <v>19</v>
      </c>
    </row>
    <row r="19" spans="1:9" ht="33.75">
      <c r="A19" s="19" t="s">
        <v>20</v>
      </c>
      <c r="B19" s="61">
        <f>2500*3</f>
        <v>7500</v>
      </c>
      <c r="C19" s="61">
        <f>2500*3</f>
        <v>7500</v>
      </c>
      <c r="D19" s="61">
        <f>2500*3</f>
        <v>7500</v>
      </c>
      <c r="E19" s="61">
        <v>0</v>
      </c>
      <c r="F19" s="61">
        <v>0</v>
      </c>
      <c r="G19" s="254"/>
      <c r="H19" s="33"/>
      <c r="I19" s="189" t="s">
        <v>480</v>
      </c>
    </row>
    <row r="20" spans="1:9" ht="24">
      <c r="A20" s="61" t="s">
        <v>80</v>
      </c>
      <c r="B20" s="61"/>
      <c r="C20" s="61">
        <f>6*1500</f>
        <v>9000</v>
      </c>
      <c r="D20" s="61">
        <f>11*1500</f>
        <v>16500</v>
      </c>
      <c r="E20" s="61">
        <f>11*1500</f>
        <v>16500</v>
      </c>
      <c r="F20" s="61">
        <v>0</v>
      </c>
      <c r="G20" s="254"/>
      <c r="H20" s="187"/>
      <c r="I20" s="179" t="s">
        <v>79</v>
      </c>
    </row>
    <row r="21" spans="1:9" ht="33.75">
      <c r="A21" s="19" t="s">
        <v>87</v>
      </c>
      <c r="B21" s="61"/>
      <c r="C21" s="61">
        <f>2500*19</f>
        <v>47500</v>
      </c>
      <c r="D21" s="61"/>
      <c r="E21" s="61">
        <v>0</v>
      </c>
      <c r="F21" s="61">
        <v>0</v>
      </c>
      <c r="G21" s="254"/>
      <c r="H21" s="33"/>
      <c r="I21" s="11" t="s">
        <v>22</v>
      </c>
    </row>
    <row r="22" spans="1:10" ht="33.75">
      <c r="A22" s="19" t="s">
        <v>24</v>
      </c>
      <c r="B22" s="61">
        <f>2500*3*3</f>
        <v>22500</v>
      </c>
      <c r="C22" s="61">
        <f>2500*9</f>
        <v>22500</v>
      </c>
      <c r="D22" s="61">
        <f>2500*3*3</f>
        <v>22500</v>
      </c>
      <c r="E22" s="61">
        <f>2500*3*3</f>
        <v>22500</v>
      </c>
      <c r="F22" s="61">
        <v>0</v>
      </c>
      <c r="G22" s="254"/>
      <c r="H22" s="33"/>
      <c r="I22" s="11" t="s">
        <v>23</v>
      </c>
      <c r="J22" s="266"/>
    </row>
    <row r="23" spans="1:9" ht="14.25">
      <c r="A23" s="34"/>
      <c r="B23" s="206"/>
      <c r="C23" s="206"/>
      <c r="D23" s="206"/>
      <c r="E23" s="206"/>
      <c r="F23" s="196"/>
      <c r="G23" s="251"/>
      <c r="H23" s="35"/>
      <c r="I23" s="23"/>
    </row>
    <row r="24" spans="1:9" ht="14.25">
      <c r="A24" s="302" t="s">
        <v>359</v>
      </c>
      <c r="B24" s="176">
        <f>SUM(B25:B33)</f>
        <v>112150</v>
      </c>
      <c r="C24" s="176">
        <f>SUM(C25:C33)</f>
        <v>236900</v>
      </c>
      <c r="D24" s="176">
        <f>SUM(D25:D33)</f>
        <v>226350</v>
      </c>
      <c r="E24" s="176">
        <f>SUM(E25:E33)</f>
        <v>218700</v>
      </c>
      <c r="F24" s="176">
        <f>SUM(F25:F33)</f>
        <v>0</v>
      </c>
      <c r="G24" s="249">
        <f>SUM(B24:F24)</f>
        <v>794100</v>
      </c>
      <c r="H24" s="11"/>
      <c r="I24" s="11"/>
    </row>
    <row r="25" spans="1:9" ht="14.25">
      <c r="A25" s="17" t="s">
        <v>406</v>
      </c>
      <c r="B25" s="197"/>
      <c r="C25" s="197"/>
      <c r="D25" s="197"/>
      <c r="E25" s="197"/>
      <c r="F25" s="197"/>
      <c r="G25" s="253"/>
      <c r="I25" s="13"/>
    </row>
    <row r="26" spans="1:9" ht="45" customHeight="1">
      <c r="A26" s="10" t="s">
        <v>25</v>
      </c>
      <c r="B26" s="61">
        <f>2*3000*9*15%</f>
        <v>8100</v>
      </c>
      <c r="C26" s="61">
        <f>2*3000*11*30%</f>
        <v>19800</v>
      </c>
      <c r="D26" s="61">
        <f>2*3000*9*35%</f>
        <v>18900</v>
      </c>
      <c r="E26" s="61">
        <f>2*3000*9*20%</f>
        <v>10800</v>
      </c>
      <c r="F26" s="61">
        <v>0</v>
      </c>
      <c r="G26" s="253"/>
      <c r="H26" s="86"/>
      <c r="I26" s="189" t="s">
        <v>149</v>
      </c>
    </row>
    <row r="27" spans="1:9" ht="45">
      <c r="A27" s="189" t="s">
        <v>26</v>
      </c>
      <c r="B27" s="61">
        <f>3000*3*6</f>
        <v>54000</v>
      </c>
      <c r="C27" s="61">
        <f>3000*3*9</f>
        <v>81000</v>
      </c>
      <c r="D27" s="61">
        <f>3000*3*9</f>
        <v>81000</v>
      </c>
      <c r="E27" s="61">
        <f>3000*3*9</f>
        <v>81000</v>
      </c>
      <c r="F27" s="61">
        <v>0</v>
      </c>
      <c r="G27" s="253"/>
      <c r="H27" s="289"/>
      <c r="I27" s="189" t="s">
        <v>452</v>
      </c>
    </row>
    <row r="28" spans="1:9" ht="51" customHeight="1">
      <c r="A28" s="189" t="s">
        <v>27</v>
      </c>
      <c r="B28" s="61">
        <f>3000*9*15%</f>
        <v>4050</v>
      </c>
      <c r="C28" s="61">
        <f>3000*9*30%</f>
        <v>8100</v>
      </c>
      <c r="D28" s="61">
        <f>3000*9*35%</f>
        <v>9450</v>
      </c>
      <c r="E28" s="61">
        <f>3000*9*20%</f>
        <v>5400</v>
      </c>
      <c r="F28" s="61">
        <v>0</v>
      </c>
      <c r="G28" s="253"/>
      <c r="I28" s="13" t="s">
        <v>162</v>
      </c>
    </row>
    <row r="29" spans="1:9" ht="29.25" customHeight="1">
      <c r="A29" s="205" t="s">
        <v>86</v>
      </c>
      <c r="B29" s="204"/>
      <c r="C29" s="204">
        <f>15000*2</f>
        <v>30000</v>
      </c>
      <c r="D29" s="204">
        <v>15000</v>
      </c>
      <c r="E29" s="204">
        <v>15000</v>
      </c>
      <c r="F29" s="204">
        <v>0</v>
      </c>
      <c r="G29" s="253"/>
      <c r="I29" s="189" t="s">
        <v>331</v>
      </c>
    </row>
    <row r="30" spans="1:9" ht="49.5" customHeight="1">
      <c r="A30" s="207" t="s">
        <v>83</v>
      </c>
      <c r="B30" s="206"/>
      <c r="C30" s="206">
        <f>4*2*3000</f>
        <v>24000</v>
      </c>
      <c r="D30" s="206">
        <f>4*3*3000</f>
        <v>36000</v>
      </c>
      <c r="E30" s="206">
        <f>4*4*3000</f>
        <v>48000</v>
      </c>
      <c r="F30" s="206">
        <v>0</v>
      </c>
      <c r="G30" s="251"/>
      <c r="H30" s="35"/>
      <c r="I30" s="34" t="s">
        <v>332</v>
      </c>
    </row>
    <row r="31" spans="1:9" ht="45">
      <c r="A31" s="34" t="s">
        <v>28</v>
      </c>
      <c r="B31" s="207"/>
      <c r="C31" s="207">
        <f>1*3000*3*4</f>
        <v>36000</v>
      </c>
      <c r="D31" s="207">
        <f>1*3000*3*4</f>
        <v>36000</v>
      </c>
      <c r="E31" s="207">
        <f>1*3000*3*4</f>
        <v>36000</v>
      </c>
      <c r="F31" s="207"/>
      <c r="G31" s="283"/>
      <c r="H31" s="35"/>
      <c r="I31" s="34" t="s">
        <v>488</v>
      </c>
    </row>
    <row r="32" spans="1:9" ht="33.75">
      <c r="A32" s="322" t="s">
        <v>328</v>
      </c>
      <c r="B32" s="207">
        <f>2500*3*4</f>
        <v>30000</v>
      </c>
      <c r="C32" s="207">
        <f>2500*3*4</f>
        <v>30000</v>
      </c>
      <c r="D32" s="207">
        <f>2500*3*4</f>
        <v>30000</v>
      </c>
      <c r="E32" s="207">
        <f>2500*3*3</f>
        <v>22500</v>
      </c>
      <c r="F32" s="207"/>
      <c r="G32" s="283"/>
      <c r="H32" s="35"/>
      <c r="I32" s="34" t="s">
        <v>29</v>
      </c>
    </row>
    <row r="33" spans="1:9" ht="36" customHeight="1">
      <c r="A33" s="34" t="s">
        <v>75</v>
      </c>
      <c r="B33" s="207">
        <f>8000*2</f>
        <v>16000</v>
      </c>
      <c r="C33" s="207">
        <f>8000*1</f>
        <v>8000</v>
      </c>
      <c r="D33" s="207"/>
      <c r="E33" s="207"/>
      <c r="F33" s="207"/>
      <c r="G33" s="283"/>
      <c r="H33" s="35"/>
      <c r="I33" s="34" t="s">
        <v>76</v>
      </c>
    </row>
    <row r="34" spans="1:9" ht="14.25">
      <c r="A34" s="302" t="s">
        <v>356</v>
      </c>
      <c r="B34" s="176">
        <f>SUM(B35:B36)</f>
        <v>0</v>
      </c>
      <c r="C34" s="176">
        <f>SUM(C35:C36)</f>
        <v>10000</v>
      </c>
      <c r="D34" s="176">
        <f>SUM(D35:D36)</f>
        <v>0</v>
      </c>
      <c r="E34" s="176">
        <f>SUM(E35:E36)</f>
        <v>0</v>
      </c>
      <c r="F34" s="176">
        <f>SUM(F35:F36)</f>
        <v>0</v>
      </c>
      <c r="G34" s="249">
        <f>SUM(B34:F34)</f>
        <v>10000</v>
      </c>
      <c r="H34" s="18"/>
      <c r="I34" s="11"/>
    </row>
    <row r="35" spans="1:9" ht="14.25">
      <c r="A35" s="17" t="s">
        <v>407</v>
      </c>
      <c r="B35" s="56"/>
      <c r="C35" s="56"/>
      <c r="D35" s="56"/>
      <c r="E35" s="56"/>
      <c r="F35" s="56"/>
      <c r="G35" s="249"/>
      <c r="H35" s="18"/>
      <c r="I35" s="11"/>
    </row>
    <row r="36" spans="1:9" ht="45">
      <c r="A36" s="19" t="s">
        <v>62</v>
      </c>
      <c r="B36" s="61"/>
      <c r="C36" s="61">
        <v>10000</v>
      </c>
      <c r="D36" s="61"/>
      <c r="E36" s="61"/>
      <c r="F36" s="61"/>
      <c r="G36" s="254"/>
      <c r="H36" s="33"/>
      <c r="I36" s="11" t="s">
        <v>61</v>
      </c>
    </row>
    <row r="37" spans="1:9" ht="14.25">
      <c r="A37" s="34"/>
      <c r="B37" s="206"/>
      <c r="C37" s="206"/>
      <c r="D37" s="206"/>
      <c r="E37" s="206"/>
      <c r="F37" s="206"/>
      <c r="G37" s="251"/>
      <c r="H37" s="35"/>
      <c r="I37" s="23"/>
    </row>
    <row r="38" spans="1:9" ht="14.25">
      <c r="A38" s="302" t="s">
        <v>357</v>
      </c>
      <c r="B38" s="176">
        <f>SUM(B39:B45)</f>
        <v>165000</v>
      </c>
      <c r="C38" s="176">
        <f>SUM(C39:C45)</f>
        <v>303000</v>
      </c>
      <c r="D38" s="176">
        <f>SUM(D39:D45)</f>
        <v>318000</v>
      </c>
      <c r="E38" s="176">
        <f>SUM(E39:E45)</f>
        <v>318000</v>
      </c>
      <c r="F38" s="176">
        <f>SUM(F39:F45)</f>
        <v>0</v>
      </c>
      <c r="G38" s="249">
        <f>SUM(B38:F38)</f>
        <v>1104000</v>
      </c>
      <c r="H38" s="11"/>
      <c r="I38" s="11"/>
    </row>
    <row r="39" spans="1:9" ht="14.25">
      <c r="A39" s="11"/>
      <c r="B39" s="56"/>
      <c r="C39" s="56"/>
      <c r="D39" s="56"/>
      <c r="E39" s="56"/>
      <c r="F39" s="56"/>
      <c r="G39" s="250"/>
      <c r="H39" s="18"/>
      <c r="I39" s="11"/>
    </row>
    <row r="40" spans="1:9" s="173" customFormat="1" ht="33.75">
      <c r="A40" s="169" t="s">
        <v>30</v>
      </c>
      <c r="B40" s="61">
        <f>4*5000*3</f>
        <v>60000</v>
      </c>
      <c r="C40" s="61">
        <f>4*5000*3</f>
        <v>60000</v>
      </c>
      <c r="D40" s="61">
        <f>4*5000*3</f>
        <v>60000</v>
      </c>
      <c r="E40" s="61">
        <f>4*5000*3</f>
        <v>60000</v>
      </c>
      <c r="F40" s="61">
        <v>0</v>
      </c>
      <c r="G40" s="253"/>
      <c r="H40" s="199"/>
      <c r="I40" s="189" t="s">
        <v>134</v>
      </c>
    </row>
    <row r="41" spans="1:9" s="173" customFormat="1" ht="33.75">
      <c r="A41" s="19" t="s">
        <v>440</v>
      </c>
      <c r="B41" s="61">
        <v>15000</v>
      </c>
      <c r="C41" s="61">
        <v>15000</v>
      </c>
      <c r="D41" s="61">
        <v>15000</v>
      </c>
      <c r="E41" s="61">
        <v>15000</v>
      </c>
      <c r="F41" s="61">
        <v>0</v>
      </c>
      <c r="G41" s="253"/>
      <c r="I41" s="13" t="s">
        <v>439</v>
      </c>
    </row>
    <row r="42" spans="1:9" s="173" customFormat="1" ht="22.5">
      <c r="A42" s="323" t="s">
        <v>326</v>
      </c>
      <c r="B42" s="61">
        <f>360000/4</f>
        <v>90000</v>
      </c>
      <c r="C42" s="61">
        <f>360000/4</f>
        <v>90000</v>
      </c>
      <c r="D42" s="61">
        <f>360000/4</f>
        <v>90000</v>
      </c>
      <c r="E42" s="61">
        <f>360000/4</f>
        <v>90000</v>
      </c>
      <c r="F42" s="61">
        <v>0</v>
      </c>
      <c r="G42" s="253">
        <f>SUM(B42:F42)</f>
        <v>360000</v>
      </c>
      <c r="I42" s="189" t="s">
        <v>111</v>
      </c>
    </row>
    <row r="43" spans="1:9" s="173" customFormat="1" ht="22.5">
      <c r="A43" s="189" t="s">
        <v>31</v>
      </c>
      <c r="B43" s="61"/>
      <c r="C43" s="61">
        <f>300000*30%</f>
        <v>90000</v>
      </c>
      <c r="D43" s="61">
        <f>300000*35%</f>
        <v>105000</v>
      </c>
      <c r="E43" s="61">
        <f>300000*35%</f>
        <v>105000</v>
      </c>
      <c r="F43" s="61">
        <v>0</v>
      </c>
      <c r="G43" s="253">
        <f>SUM(B43:F43)</f>
        <v>300000</v>
      </c>
      <c r="I43" s="189" t="s">
        <v>112</v>
      </c>
    </row>
    <row r="44" spans="1:9" s="173" customFormat="1" ht="32.25" customHeight="1">
      <c r="A44" s="189" t="s">
        <v>547</v>
      </c>
      <c r="B44" s="61"/>
      <c r="C44" s="61">
        <v>48000</v>
      </c>
      <c r="D44" s="61">
        <v>48000</v>
      </c>
      <c r="E44" s="61">
        <v>48000</v>
      </c>
      <c r="F44" s="61">
        <v>0</v>
      </c>
      <c r="G44" s="253">
        <f>SUM(B44:F44)</f>
        <v>144000</v>
      </c>
      <c r="I44" s="189" t="s">
        <v>548</v>
      </c>
    </row>
    <row r="45" spans="1:9" s="173" customFormat="1" ht="12">
      <c r="A45" s="174"/>
      <c r="B45" s="196"/>
      <c r="C45" s="196"/>
      <c r="D45" s="196"/>
      <c r="E45" s="196"/>
      <c r="F45" s="196"/>
      <c r="G45" s="251"/>
      <c r="H45" s="174"/>
      <c r="I45" s="23"/>
    </row>
    <row r="46" spans="1:9" ht="14.25">
      <c r="A46" s="302" t="s">
        <v>358</v>
      </c>
      <c r="B46" s="176">
        <f>SUM(B47:B48)</f>
        <v>0</v>
      </c>
      <c r="C46" s="176">
        <f>SUM(C47:C48)</f>
        <v>0</v>
      </c>
      <c r="D46" s="176">
        <f>SUM(D47:D48)</f>
        <v>0</v>
      </c>
      <c r="E46" s="176">
        <f>SUM(E47:E48)</f>
        <v>0</v>
      </c>
      <c r="F46" s="176">
        <f>SUM(F47:F48)</f>
        <v>0</v>
      </c>
      <c r="G46" s="249">
        <f>SUM(B46:F46)</f>
        <v>0</v>
      </c>
      <c r="H46" s="11"/>
      <c r="I46" s="11"/>
    </row>
    <row r="47" spans="1:9" ht="14.25">
      <c r="A47" s="17" t="s">
        <v>408</v>
      </c>
      <c r="B47" s="56"/>
      <c r="C47" s="56"/>
      <c r="D47" s="56"/>
      <c r="E47" s="56"/>
      <c r="F47" s="56"/>
      <c r="G47" s="250"/>
      <c r="H47" s="18"/>
      <c r="I47" s="11"/>
    </row>
    <row r="48" spans="1:9" ht="14.25">
      <c r="A48" s="35"/>
      <c r="B48" s="196"/>
      <c r="C48" s="196"/>
      <c r="D48" s="196"/>
      <c r="E48" s="196"/>
      <c r="F48" s="196"/>
      <c r="G48" s="251"/>
      <c r="H48" s="35"/>
      <c r="I48" s="23"/>
    </row>
    <row r="49" spans="1:9" ht="14.25">
      <c r="A49" s="302" t="s">
        <v>355</v>
      </c>
      <c r="B49" s="176">
        <f>SUM(B50:B51)</f>
        <v>1650</v>
      </c>
      <c r="C49" s="176">
        <f>SUM(C50:C51)</f>
        <v>0</v>
      </c>
      <c r="D49" s="176">
        <f>SUM(D50:D51)</f>
        <v>0</v>
      </c>
      <c r="E49" s="176">
        <f>SUM(E50:E51)</f>
        <v>0</v>
      </c>
      <c r="F49" s="176">
        <f>SUM(F50:F51)</f>
        <v>0</v>
      </c>
      <c r="G49" s="249">
        <f>SUM(B49:F49)</f>
        <v>1650</v>
      </c>
      <c r="H49" s="11"/>
      <c r="I49" s="11"/>
    </row>
    <row r="50" spans="1:9" ht="14.25">
      <c r="A50" s="17" t="s">
        <v>407</v>
      </c>
      <c r="B50" s="56"/>
      <c r="C50" s="56"/>
      <c r="D50" s="56"/>
      <c r="E50" s="56"/>
      <c r="F50" s="56"/>
      <c r="G50" s="250"/>
      <c r="H50" s="18"/>
      <c r="I50" s="11"/>
    </row>
    <row r="51" spans="1:9" ht="33.75">
      <c r="A51" s="19" t="s">
        <v>402</v>
      </c>
      <c r="B51" s="61">
        <f>150*11</f>
        <v>1650</v>
      </c>
      <c r="C51" s="60"/>
      <c r="D51" s="60"/>
      <c r="E51" s="60"/>
      <c r="F51" s="60"/>
      <c r="G51" s="254"/>
      <c r="H51" s="33"/>
      <c r="I51" s="19" t="s">
        <v>176</v>
      </c>
    </row>
    <row r="52" spans="1:9" ht="14.25">
      <c r="A52" s="34"/>
      <c r="B52" s="207"/>
      <c r="C52" s="196"/>
      <c r="D52" s="196"/>
      <c r="E52" s="196"/>
      <c r="F52" s="196"/>
      <c r="G52" s="251"/>
      <c r="H52" s="35"/>
      <c r="I52" s="34"/>
    </row>
    <row r="53" spans="1:9" ht="14.25">
      <c r="A53" s="309" t="s">
        <v>426</v>
      </c>
      <c r="B53" s="249">
        <f aca="true" t="shared" si="0" ref="B53:G53">SUM(B8,B13,B24,B34,B38,B46,B49)</f>
        <v>438800</v>
      </c>
      <c r="C53" s="249">
        <f t="shared" si="0"/>
        <v>784400</v>
      </c>
      <c r="D53" s="249">
        <f t="shared" si="0"/>
        <v>738850</v>
      </c>
      <c r="E53" s="249">
        <f t="shared" si="0"/>
        <v>707700</v>
      </c>
      <c r="F53" s="249">
        <f t="shared" si="0"/>
        <v>0</v>
      </c>
      <c r="G53" s="249">
        <f t="shared" si="0"/>
        <v>2669750</v>
      </c>
      <c r="H53" s="20"/>
      <c r="I53" s="11"/>
    </row>
    <row r="54" spans="1:9" ht="14.25">
      <c r="A54" s="258"/>
      <c r="B54" s="255"/>
      <c r="C54" s="255"/>
      <c r="D54" s="255"/>
      <c r="E54" s="255"/>
      <c r="F54" s="255"/>
      <c r="G54" s="255"/>
      <c r="H54" s="27"/>
      <c r="I54" s="23"/>
    </row>
    <row r="55" spans="7:9" ht="14.25">
      <c r="G55" s="2"/>
      <c r="H55" s="33"/>
      <c r="I55" s="33"/>
    </row>
    <row r="58" ht="14.25">
      <c r="F58" s="193"/>
    </row>
    <row r="59" ht="14.25">
      <c r="F59" s="193"/>
    </row>
    <row r="60" ht="14.25">
      <c r="F60" s="193"/>
    </row>
  </sheetData>
  <sheetProtection/>
  <mergeCells count="1">
    <mergeCell ref="B5:I5"/>
  </mergeCells>
  <printOptions horizontalCentered="1"/>
  <pageMargins left="0.2362204724409449" right="0.2362204724409449" top="0.2362204724409449" bottom="0.5118110236220472" header="0" footer="0.2362204724409449"/>
  <pageSetup cellComments="asDisplayed" fitToHeight="1" fitToWidth="1" horizontalDpi="600" verticalDpi="600" orientation="landscape" paperSize="9" scale="39" r:id="rId2"/>
  <headerFooter alignWithMargins="0">
    <oddFooter>&amp;R&amp;8Page &amp;P of &amp;N
Rev: 04/15/05</oddFooter>
  </headerFooter>
  <drawing r:id="rId1"/>
</worksheet>
</file>

<file path=xl/worksheets/sheet8.xml><?xml version="1.0" encoding="utf-8"?>
<worksheet xmlns="http://schemas.openxmlformats.org/spreadsheetml/2006/main" xmlns:r="http://schemas.openxmlformats.org/officeDocument/2006/relationships">
  <sheetPr>
    <tabColor indexed="29"/>
    <pageSetUpPr fitToPage="1"/>
  </sheetPr>
  <dimension ref="A1:I43"/>
  <sheetViews>
    <sheetView view="pageBreakPreview" zoomScale="60" zoomScaleNormal="75" zoomScalePageLayoutView="0" workbookViewId="0" topLeftCell="A13">
      <selection activeCell="J13" sqref="J1:K16384"/>
    </sheetView>
  </sheetViews>
  <sheetFormatPr defaultColWidth="9.140625" defaultRowHeight="12.75"/>
  <cols>
    <col min="1" max="1" width="34.421875" style="1" customWidth="1"/>
    <col min="2" max="2" width="12.00390625" style="1" customWidth="1"/>
    <col min="3" max="4" width="11.28125" style="1" customWidth="1"/>
    <col min="5" max="7" width="12.00390625" style="1" customWidth="1"/>
    <col min="8" max="8" width="14.421875" style="1" hidden="1" customWidth="1"/>
    <col min="9" max="9" width="36.421875" style="1" customWidth="1"/>
    <col min="10" max="16384" width="9.140625" style="1" customWidth="1"/>
  </cols>
  <sheetData>
    <row r="1" spans="1:7" ht="18">
      <c r="A1" s="304" t="s">
        <v>165</v>
      </c>
      <c r="G1" s="2"/>
    </row>
    <row r="2" spans="1:7" ht="18">
      <c r="A2" s="304"/>
      <c r="G2" s="2"/>
    </row>
    <row r="3" spans="1:7" ht="15">
      <c r="A3" s="47" t="s">
        <v>363</v>
      </c>
      <c r="B3" s="81" t="str">
        <f>'Major Activity 1'!B2</f>
        <v>UNDP</v>
      </c>
      <c r="C3" s="10"/>
      <c r="D3" s="10"/>
      <c r="E3" s="10"/>
      <c r="F3" s="10"/>
      <c r="G3" s="13"/>
    </row>
    <row r="4" spans="1:7" ht="15">
      <c r="A4" s="47" t="s">
        <v>364</v>
      </c>
      <c r="B4" s="81" t="str">
        <f>'Major Activity 1'!B3</f>
        <v>Expansion of Successful Poverty Reduction and Women’s Empowerment Model in West Africa Project Number 45498</v>
      </c>
      <c r="C4" s="10"/>
      <c r="D4" s="10"/>
      <c r="E4" s="10"/>
      <c r="F4" s="10"/>
      <c r="G4" s="13"/>
    </row>
    <row r="5" spans="1:9" ht="27" customHeight="1">
      <c r="A5" s="49" t="s">
        <v>206</v>
      </c>
      <c r="B5" s="384" t="str">
        <f>'Snapshot |15 Major Activities'!B5:C5</f>
        <v>To strengthen human and institutional capacities, including expanding technology and financing options and strengthening knowledge management, in support of implementing national multifunctional platform programs</v>
      </c>
      <c r="C5" s="384"/>
      <c r="D5" s="384"/>
      <c r="E5" s="384"/>
      <c r="F5" s="384"/>
      <c r="G5" s="384"/>
      <c r="H5" s="384"/>
      <c r="I5" s="384"/>
    </row>
    <row r="6" spans="1:9" ht="31.5" customHeight="1" thickBot="1">
      <c r="A6" s="48" t="s">
        <v>376</v>
      </c>
      <c r="B6" s="386" t="str">
        <f>'Basic Info'!C29</f>
        <v>Strengthen the capacity of national program teams and local partners on all aspects of MFP planning and  implementation, including gender analysis</v>
      </c>
      <c r="C6" s="386"/>
      <c r="D6" s="386"/>
      <c r="E6" s="386"/>
      <c r="F6" s="386"/>
      <c r="G6" s="386"/>
      <c r="H6" s="386"/>
      <c r="I6" s="386"/>
    </row>
    <row r="7" spans="1:9" ht="27.75">
      <c r="A7" s="53" t="s">
        <v>404</v>
      </c>
      <c r="B7" s="51" t="s">
        <v>405</v>
      </c>
      <c r="C7" s="51" t="s">
        <v>409</v>
      </c>
      <c r="D7" s="51" t="s">
        <v>410</v>
      </c>
      <c r="E7" s="51" t="s">
        <v>171</v>
      </c>
      <c r="F7" s="51" t="s">
        <v>169</v>
      </c>
      <c r="G7" s="248" t="s">
        <v>411</v>
      </c>
      <c r="H7" s="52" t="s">
        <v>374</v>
      </c>
      <c r="I7" s="54" t="s">
        <v>362</v>
      </c>
    </row>
    <row r="8" spans="1:9" ht="14.25">
      <c r="A8" s="302" t="s">
        <v>353</v>
      </c>
      <c r="B8" s="176">
        <f>SUM(B9:B12)</f>
        <v>64000</v>
      </c>
      <c r="C8" s="176">
        <f>SUM(C9:C12)</f>
        <v>64000</v>
      </c>
      <c r="D8" s="176">
        <f>SUM(D9:D12)</f>
        <v>64000</v>
      </c>
      <c r="E8" s="176">
        <f>SUM(E9:E12)</f>
        <v>32000</v>
      </c>
      <c r="F8" s="176">
        <f>SUM(F9:F12)</f>
        <v>0</v>
      </c>
      <c r="G8" s="249">
        <f>SUM(B8:F8)</f>
        <v>224000</v>
      </c>
      <c r="H8" s="11"/>
      <c r="I8" s="11"/>
    </row>
    <row r="9" spans="1:9" ht="14.25">
      <c r="A9" s="132" t="s">
        <v>399</v>
      </c>
      <c r="B9" s="61"/>
      <c r="C9" s="61"/>
      <c r="D9" s="61"/>
      <c r="E9" s="56"/>
      <c r="F9" s="56"/>
      <c r="G9" s="250"/>
      <c r="H9" s="18"/>
      <c r="I9" s="11"/>
    </row>
    <row r="10" spans="1:9" ht="45">
      <c r="A10" s="19" t="s">
        <v>117</v>
      </c>
      <c r="B10" s="61">
        <f aca="true" t="shared" si="0" ref="B10:D11">8000*2*2</f>
        <v>32000</v>
      </c>
      <c r="C10" s="61">
        <f t="shared" si="0"/>
        <v>32000</v>
      </c>
      <c r="D10" s="61">
        <f t="shared" si="0"/>
        <v>32000</v>
      </c>
      <c r="E10" s="61"/>
      <c r="F10" s="61"/>
      <c r="G10" s="250"/>
      <c r="H10" s="18"/>
      <c r="I10" s="189" t="s">
        <v>71</v>
      </c>
    </row>
    <row r="11" spans="1:9" ht="45">
      <c r="A11" s="179" t="s">
        <v>118</v>
      </c>
      <c r="B11" s="61">
        <f t="shared" si="0"/>
        <v>32000</v>
      </c>
      <c r="C11" s="61">
        <f t="shared" si="0"/>
        <v>32000</v>
      </c>
      <c r="D11" s="61">
        <f t="shared" si="0"/>
        <v>32000</v>
      </c>
      <c r="E11" s="61">
        <f>8000*2*2</f>
        <v>32000</v>
      </c>
      <c r="F11" s="61"/>
      <c r="G11" s="250"/>
      <c r="H11" s="18"/>
      <c r="I11" s="189" t="s">
        <v>32</v>
      </c>
    </row>
    <row r="12" spans="1:9" ht="14.25">
      <c r="A12" s="35"/>
      <c r="B12" s="196"/>
      <c r="C12" s="196"/>
      <c r="D12" s="196"/>
      <c r="E12" s="196"/>
      <c r="F12" s="196"/>
      <c r="G12" s="251"/>
      <c r="H12" s="35"/>
      <c r="I12" s="168"/>
    </row>
    <row r="13" spans="1:9" ht="14.25">
      <c r="A13" s="302" t="s">
        <v>354</v>
      </c>
      <c r="B13" s="176">
        <f>SUM(B14:B15)</f>
        <v>0</v>
      </c>
      <c r="C13" s="176">
        <f>SUM(C14:C15)</f>
        <v>0</v>
      </c>
      <c r="D13" s="176">
        <f>SUM(D14:D15)</f>
        <v>0</v>
      </c>
      <c r="E13" s="176">
        <f>SUM(E14:E15)</f>
        <v>0</v>
      </c>
      <c r="F13" s="176">
        <f>SUM(F14:F15)</f>
        <v>0</v>
      </c>
      <c r="G13" s="249">
        <f>SUM(B13:F13)</f>
        <v>0</v>
      </c>
      <c r="H13" s="18"/>
      <c r="I13" s="11"/>
    </row>
    <row r="14" spans="1:9" ht="14.25">
      <c r="A14" s="17" t="s">
        <v>406</v>
      </c>
      <c r="B14" s="56"/>
      <c r="C14" s="56"/>
      <c r="D14" s="56"/>
      <c r="E14" s="56"/>
      <c r="F14" s="56"/>
      <c r="G14" s="250"/>
      <c r="H14" s="18"/>
      <c r="I14" s="11"/>
    </row>
    <row r="15" spans="1:9" ht="14.25">
      <c r="A15" s="23"/>
      <c r="B15" s="195"/>
      <c r="C15" s="195"/>
      <c r="D15" s="195"/>
      <c r="E15" s="195"/>
      <c r="F15" s="195"/>
      <c r="G15" s="252"/>
      <c r="H15" s="24"/>
      <c r="I15" s="23"/>
    </row>
    <row r="16" spans="1:9" ht="15">
      <c r="A16" s="310" t="s">
        <v>352</v>
      </c>
      <c r="B16" s="55">
        <f>SUM(B17:B21)</f>
        <v>100000</v>
      </c>
      <c r="C16" s="55">
        <f>SUM(C17:C21)</f>
        <v>160000</v>
      </c>
      <c r="D16" s="55">
        <f>SUM(D17:D21)</f>
        <v>65000</v>
      </c>
      <c r="E16" s="176">
        <f>SUM(E17:E21)</f>
        <v>0</v>
      </c>
      <c r="F16" s="176">
        <f>SUM(F17:F21)</f>
        <v>0</v>
      </c>
      <c r="G16" s="249">
        <f>SUM(B16:F16)</f>
        <v>325000</v>
      </c>
      <c r="H16" s="11"/>
      <c r="I16" s="11"/>
    </row>
    <row r="17" spans="1:9" ht="34.5" customHeight="1">
      <c r="A17" s="189" t="s">
        <v>549</v>
      </c>
      <c r="B17" s="61">
        <f>2500*2*3</f>
        <v>15000</v>
      </c>
      <c r="C17" s="61">
        <f>2500*2*3*2</f>
        <v>30000</v>
      </c>
      <c r="D17" s="61"/>
      <c r="E17" s="61"/>
      <c r="F17" s="61"/>
      <c r="G17" s="253"/>
      <c r="I17" s="189" t="s">
        <v>510</v>
      </c>
    </row>
    <row r="18" spans="1:9" ht="33.75">
      <c r="A18" s="189" t="s">
        <v>551</v>
      </c>
      <c r="B18" s="61">
        <f>1500*10*3</f>
        <v>45000</v>
      </c>
      <c r="C18" s="61">
        <f>(1500*10*3)*2</f>
        <v>90000</v>
      </c>
      <c r="D18" s="61">
        <f>1500*10*3</f>
        <v>45000</v>
      </c>
      <c r="E18" s="61"/>
      <c r="F18" s="61"/>
      <c r="G18" s="253"/>
      <c r="I18" s="13" t="s">
        <v>550</v>
      </c>
    </row>
    <row r="19" spans="1:9" ht="45">
      <c r="A19" s="19" t="s">
        <v>485</v>
      </c>
      <c r="B19" s="61">
        <f>2500*2*2</f>
        <v>10000</v>
      </c>
      <c r="C19" s="61">
        <f>2500*2*2</f>
        <v>10000</v>
      </c>
      <c r="D19" s="61">
        <f>2500*2*1</f>
        <v>5000</v>
      </c>
      <c r="E19" s="61"/>
      <c r="F19" s="61"/>
      <c r="G19" s="253"/>
      <c r="H19" s="86"/>
      <c r="I19" s="189" t="s">
        <v>88</v>
      </c>
    </row>
    <row r="20" spans="1:9" ht="33.75" customHeight="1">
      <c r="A20" s="19" t="s">
        <v>295</v>
      </c>
      <c r="B20" s="61">
        <f>1500*10*2</f>
        <v>30000</v>
      </c>
      <c r="C20" s="61">
        <f>1500*10*2</f>
        <v>30000</v>
      </c>
      <c r="D20" s="61">
        <f>1500*10*1</f>
        <v>15000</v>
      </c>
      <c r="E20" s="61"/>
      <c r="F20" s="61"/>
      <c r="G20" s="253"/>
      <c r="H20" s="86"/>
      <c r="I20" s="189" t="s">
        <v>552</v>
      </c>
    </row>
    <row r="21" spans="1:9" ht="14.25">
      <c r="A21" s="174"/>
      <c r="B21" s="232"/>
      <c r="C21" s="232"/>
      <c r="D21" s="232"/>
      <c r="E21" s="196"/>
      <c r="F21" s="196"/>
      <c r="G21" s="251"/>
      <c r="H21" s="35"/>
      <c r="I21" s="23"/>
    </row>
    <row r="22" spans="1:9" ht="14.25">
      <c r="A22" s="302" t="s">
        <v>359</v>
      </c>
      <c r="B22" s="176">
        <f>SUM(B23:B27)</f>
        <v>125000</v>
      </c>
      <c r="C22" s="176">
        <f>SUM(C23:C27)</f>
        <v>92000</v>
      </c>
      <c r="D22" s="176">
        <f>SUM(D23:D27)</f>
        <v>41500</v>
      </c>
      <c r="E22" s="176">
        <f>SUM(E23:E27)</f>
        <v>0</v>
      </c>
      <c r="F22" s="176">
        <f>SUM(F23:F27)</f>
        <v>0</v>
      </c>
      <c r="G22" s="249">
        <f>SUM(B22:F22)</f>
        <v>258500</v>
      </c>
      <c r="H22" s="11"/>
      <c r="I22" s="11"/>
    </row>
    <row r="23" spans="1:9" ht="60">
      <c r="A23" s="61" t="s">
        <v>84</v>
      </c>
      <c r="B23" s="243">
        <f>4*3*3000</f>
        <v>36000</v>
      </c>
      <c r="C23" s="243">
        <f>4*2*3000</f>
        <v>24000</v>
      </c>
      <c r="D23" s="243"/>
      <c r="E23" s="243"/>
      <c r="F23" s="243"/>
      <c r="G23" s="254"/>
      <c r="H23" s="33"/>
      <c r="I23" s="179" t="s">
        <v>333</v>
      </c>
    </row>
    <row r="24" spans="1:9" ht="44.25" customHeight="1">
      <c r="A24" s="205" t="s">
        <v>86</v>
      </c>
      <c r="B24" s="204">
        <f>15000*3</f>
        <v>45000</v>
      </c>
      <c r="C24" s="204">
        <v>15000</v>
      </c>
      <c r="D24" s="204"/>
      <c r="E24" s="204"/>
      <c r="F24" s="204"/>
      <c r="G24" s="253"/>
      <c r="I24" s="180" t="s">
        <v>334</v>
      </c>
    </row>
    <row r="25" spans="1:9" ht="81.75" customHeight="1">
      <c r="A25" s="189" t="s">
        <v>417</v>
      </c>
      <c r="B25" s="61">
        <f>(3000*3)</f>
        <v>9000</v>
      </c>
      <c r="C25" s="61">
        <f>(3000*3)*2</f>
        <v>18000</v>
      </c>
      <c r="D25" s="61">
        <f>3000*3</f>
        <v>9000</v>
      </c>
      <c r="E25" s="61"/>
      <c r="F25" s="61"/>
      <c r="G25" s="253"/>
      <c r="I25" s="189" t="s">
        <v>226</v>
      </c>
    </row>
    <row r="26" spans="1:9" ht="22.5">
      <c r="A26" s="19" t="s">
        <v>92</v>
      </c>
      <c r="B26" s="61">
        <f>250*10*2</f>
        <v>5000</v>
      </c>
      <c r="C26" s="61">
        <f>250*10*2</f>
        <v>5000</v>
      </c>
      <c r="D26" s="61">
        <f>250*10*1</f>
        <v>2500</v>
      </c>
      <c r="E26" s="61"/>
      <c r="F26" s="61"/>
      <c r="G26" s="253"/>
      <c r="I26" s="189" t="s">
        <v>150</v>
      </c>
    </row>
    <row r="27" spans="1:9" ht="45.75" customHeight="1">
      <c r="A27" s="202" t="s">
        <v>91</v>
      </c>
      <c r="B27" s="290">
        <f>2*3000*5</f>
        <v>30000</v>
      </c>
      <c r="C27" s="290">
        <f>2*3000*5</f>
        <v>30000</v>
      </c>
      <c r="D27" s="290">
        <f>2*3000*5</f>
        <v>30000</v>
      </c>
      <c r="E27" s="290"/>
      <c r="F27" s="290">
        <v>0</v>
      </c>
      <c r="G27" s="251"/>
      <c r="H27" s="200"/>
      <c r="I27" s="34" t="s">
        <v>90</v>
      </c>
    </row>
    <row r="28" spans="1:9" ht="14.25">
      <c r="A28" s="302" t="s">
        <v>356</v>
      </c>
      <c r="B28" s="176">
        <f>SUM(B29:B32)</f>
        <v>25000</v>
      </c>
      <c r="C28" s="176">
        <f>SUM(C29:C32)</f>
        <v>40000</v>
      </c>
      <c r="D28" s="176">
        <f>SUM(D29:D32)</f>
        <v>20000</v>
      </c>
      <c r="E28" s="176">
        <f>SUM(E29:E32)</f>
        <v>0</v>
      </c>
      <c r="F28" s="176">
        <f>SUM(F29:F32)</f>
        <v>0</v>
      </c>
      <c r="G28" s="249">
        <f>SUM(B28:F28)</f>
        <v>85000</v>
      </c>
      <c r="H28" s="18"/>
      <c r="I28" s="11"/>
    </row>
    <row r="29" spans="1:9" ht="22.5">
      <c r="A29" s="17" t="s">
        <v>407</v>
      </c>
      <c r="B29" s="56"/>
      <c r="C29" s="56"/>
      <c r="D29" s="56"/>
      <c r="E29" s="56"/>
      <c r="F29" s="56"/>
      <c r="G29" s="249"/>
      <c r="H29" s="18"/>
      <c r="I29" s="11" t="s">
        <v>509</v>
      </c>
    </row>
    <row r="30" spans="1:9" ht="45">
      <c r="A30" s="189" t="s">
        <v>553</v>
      </c>
      <c r="B30" s="61">
        <f>5000*3</f>
        <v>15000</v>
      </c>
      <c r="C30" s="61">
        <f>(5000*3)*2</f>
        <v>30000</v>
      </c>
      <c r="D30" s="61">
        <f>5000*3</f>
        <v>15000</v>
      </c>
      <c r="E30" s="61"/>
      <c r="F30" s="61"/>
      <c r="G30" s="253"/>
      <c r="I30" s="189" t="s">
        <v>418</v>
      </c>
    </row>
    <row r="31" spans="1:9" ht="33.75">
      <c r="A31" s="19" t="s">
        <v>416</v>
      </c>
      <c r="B31" s="61">
        <f>5000*2</f>
        <v>10000</v>
      </c>
      <c r="C31" s="61">
        <f>5000*2</f>
        <v>10000</v>
      </c>
      <c r="D31" s="61">
        <f>5000*1</f>
        <v>5000</v>
      </c>
      <c r="E31" s="61"/>
      <c r="F31" s="61"/>
      <c r="G31" s="253"/>
      <c r="I31" s="189" t="s">
        <v>63</v>
      </c>
    </row>
    <row r="32" spans="1:9" ht="14.25">
      <c r="A32" s="35"/>
      <c r="B32" s="196"/>
      <c r="C32" s="196"/>
      <c r="D32" s="196"/>
      <c r="E32" s="196"/>
      <c r="F32" s="196"/>
      <c r="G32" s="251"/>
      <c r="H32" s="35"/>
      <c r="I32" s="168"/>
    </row>
    <row r="33" spans="1:9" ht="14.25">
      <c r="A33" s="302" t="s">
        <v>357</v>
      </c>
      <c r="B33" s="176">
        <f>SUM(B34:B35)</f>
        <v>0</v>
      </c>
      <c r="C33" s="176">
        <f>SUM(C34:C35)</f>
        <v>0</v>
      </c>
      <c r="D33" s="176">
        <f>SUM(D34:D35)</f>
        <v>0</v>
      </c>
      <c r="E33" s="176">
        <f>SUM(E34:E35)</f>
        <v>0</v>
      </c>
      <c r="F33" s="176">
        <f>SUM(F34:F35)</f>
        <v>0</v>
      </c>
      <c r="G33" s="249">
        <f>SUM(B33:F33)</f>
        <v>0</v>
      </c>
      <c r="H33" s="11"/>
      <c r="I33" s="11"/>
    </row>
    <row r="34" spans="1:9" ht="14.25">
      <c r="A34" s="17" t="s">
        <v>406</v>
      </c>
      <c r="B34" s="56"/>
      <c r="C34" s="56"/>
      <c r="D34" s="56"/>
      <c r="E34" s="56"/>
      <c r="F34" s="56"/>
      <c r="G34" s="250"/>
      <c r="H34" s="18"/>
      <c r="I34" s="11"/>
    </row>
    <row r="35" spans="1:9" ht="14.25">
      <c r="A35" s="35"/>
      <c r="B35" s="196"/>
      <c r="C35" s="196"/>
      <c r="D35" s="196"/>
      <c r="E35" s="196"/>
      <c r="F35" s="196"/>
      <c r="G35" s="251"/>
      <c r="H35" s="35"/>
      <c r="I35" s="168"/>
    </row>
    <row r="36" spans="1:9" ht="14.25">
      <c r="A36" s="302" t="s">
        <v>358</v>
      </c>
      <c r="B36" s="176">
        <f>SUM(B37:B38)</f>
        <v>0</v>
      </c>
      <c r="C36" s="176">
        <f>SUM(C37:C38)</f>
        <v>0</v>
      </c>
      <c r="D36" s="176">
        <f>SUM(D37:D38)</f>
        <v>0</v>
      </c>
      <c r="E36" s="176">
        <f>SUM(E37:E38)</f>
        <v>0</v>
      </c>
      <c r="F36" s="176">
        <f>SUM(F37:F38)</f>
        <v>0</v>
      </c>
      <c r="G36" s="249">
        <f>SUM(B36:F36)</f>
        <v>0</v>
      </c>
      <c r="H36" s="11"/>
      <c r="I36" s="11"/>
    </row>
    <row r="37" spans="1:9" ht="14.25">
      <c r="A37" s="17" t="s">
        <v>408</v>
      </c>
      <c r="B37" s="56"/>
      <c r="C37" s="56"/>
      <c r="D37" s="56"/>
      <c r="E37" s="56"/>
      <c r="F37" s="56"/>
      <c r="G37" s="250"/>
      <c r="H37" s="18"/>
      <c r="I37" s="11"/>
    </row>
    <row r="38" spans="1:9" ht="14.25">
      <c r="A38" s="35"/>
      <c r="B38" s="196"/>
      <c r="C38" s="196"/>
      <c r="D38" s="196"/>
      <c r="E38" s="196"/>
      <c r="F38" s="196"/>
      <c r="G38" s="251"/>
      <c r="H38" s="35"/>
      <c r="I38" s="168"/>
    </row>
    <row r="39" spans="1:9" ht="14.25">
      <c r="A39" s="302" t="s">
        <v>355</v>
      </c>
      <c r="B39" s="176">
        <f>SUM(B40:B40)</f>
        <v>0</v>
      </c>
      <c r="C39" s="176">
        <f>SUM(C40:C40)</f>
        <v>0</v>
      </c>
      <c r="D39" s="176">
        <f>SUM(D40:D40)</f>
        <v>0</v>
      </c>
      <c r="E39" s="176">
        <f>SUM(E40:E40)</f>
        <v>0</v>
      </c>
      <c r="F39" s="176">
        <f>SUM(F40:F40)</f>
        <v>0</v>
      </c>
      <c r="G39" s="249">
        <f>SUM(B39:F39)</f>
        <v>0</v>
      </c>
      <c r="H39" s="11"/>
      <c r="I39" s="11"/>
    </row>
    <row r="40" spans="1:9" ht="14.25">
      <c r="A40" s="174"/>
      <c r="B40" s="196"/>
      <c r="C40" s="196"/>
      <c r="D40" s="196"/>
      <c r="E40" s="196"/>
      <c r="F40" s="196"/>
      <c r="G40" s="251"/>
      <c r="H40" s="174"/>
      <c r="I40" s="178"/>
    </row>
    <row r="41" spans="1:9" ht="14.25">
      <c r="A41" s="309" t="s">
        <v>361</v>
      </c>
      <c r="B41" s="249">
        <f aca="true" t="shared" si="1" ref="B41:G41">SUM(B8,B13,B16,B22,B28,B33,B36,B39,)</f>
        <v>314000</v>
      </c>
      <c r="C41" s="249">
        <f t="shared" si="1"/>
        <v>356000</v>
      </c>
      <c r="D41" s="249">
        <f t="shared" si="1"/>
        <v>190500</v>
      </c>
      <c r="E41" s="249">
        <f t="shared" si="1"/>
        <v>32000</v>
      </c>
      <c r="F41" s="249">
        <f t="shared" si="1"/>
        <v>0</v>
      </c>
      <c r="G41" s="249">
        <f t="shared" si="1"/>
        <v>892500</v>
      </c>
      <c r="H41" s="20"/>
      <c r="I41" s="11"/>
    </row>
    <row r="42" spans="1:9" ht="14.25">
      <c r="A42" s="258"/>
      <c r="B42" s="255"/>
      <c r="C42" s="255"/>
      <c r="D42" s="255"/>
      <c r="E42" s="255"/>
      <c r="F42" s="255"/>
      <c r="G42" s="255"/>
      <c r="H42" s="27"/>
      <c r="I42" s="23"/>
    </row>
    <row r="43" spans="7:9" ht="14.25">
      <c r="G43" s="2"/>
      <c r="H43" s="33"/>
      <c r="I43" s="33"/>
    </row>
  </sheetData>
  <sheetProtection/>
  <mergeCells count="2">
    <mergeCell ref="B5:I5"/>
    <mergeCell ref="B6:I6"/>
  </mergeCells>
  <printOptions horizontalCentered="1"/>
  <pageMargins left="0.2362204724409449" right="0.2362204724409449" top="0.2362204724409449" bottom="0.5118110236220472" header="0" footer="0.2362204724409449"/>
  <pageSetup fitToHeight="1" fitToWidth="1" horizontalDpi="600" verticalDpi="600" orientation="landscape" paperSize="9" scale="53" r:id="rId2"/>
  <headerFooter alignWithMargins="0">
    <oddFooter>&amp;R&amp;8Page &amp;P of &amp;N
Rev: 04/15/05</oddFooter>
  </headerFooter>
  <rowBreaks count="1" manualBreakCount="1">
    <brk id="27" max="255" man="1"/>
  </rowBreaks>
  <drawing r:id="rId1"/>
</worksheet>
</file>

<file path=xl/worksheets/sheet9.xml><?xml version="1.0" encoding="utf-8"?>
<worksheet xmlns="http://schemas.openxmlformats.org/spreadsheetml/2006/main" xmlns:r="http://schemas.openxmlformats.org/officeDocument/2006/relationships">
  <sheetPr>
    <tabColor indexed="29"/>
    <pageSetUpPr fitToPage="1"/>
  </sheetPr>
  <dimension ref="A1:K38"/>
  <sheetViews>
    <sheetView view="pageBreakPreview" zoomScale="60" zoomScaleNormal="75" zoomScalePageLayoutView="0" workbookViewId="0" topLeftCell="A1">
      <selection activeCell="I35" sqref="A1:I35"/>
    </sheetView>
  </sheetViews>
  <sheetFormatPr defaultColWidth="9.140625" defaultRowHeight="12.75"/>
  <cols>
    <col min="1" max="1" width="34.421875" style="311" customWidth="1"/>
    <col min="2" max="7" width="12.00390625" style="311" customWidth="1"/>
    <col min="8" max="8" width="14.421875" style="311" hidden="1" customWidth="1"/>
    <col min="9" max="9" width="36.421875" style="311" customWidth="1"/>
    <col min="10" max="10" width="11.00390625" style="295" customWidth="1"/>
    <col min="11" max="11" width="15.421875" style="1" customWidth="1"/>
    <col min="12" max="16384" width="9.140625" style="311" customWidth="1"/>
  </cols>
  <sheetData>
    <row r="1" spans="1:11" ht="18">
      <c r="A1" s="304" t="s">
        <v>165</v>
      </c>
      <c r="B1" s="1"/>
      <c r="C1" s="1"/>
      <c r="D1" s="1"/>
      <c r="E1" s="1"/>
      <c r="F1" s="1"/>
      <c r="G1" s="2"/>
      <c r="K1" s="305"/>
    </row>
    <row r="2" spans="1:7" ht="18">
      <c r="A2" s="304"/>
      <c r="B2" s="1"/>
      <c r="C2" s="1"/>
      <c r="D2" s="1"/>
      <c r="E2" s="1"/>
      <c r="F2" s="1"/>
      <c r="G2" s="2"/>
    </row>
    <row r="3" spans="1:7" ht="15">
      <c r="A3" s="47" t="s">
        <v>363</v>
      </c>
      <c r="B3" s="81" t="str">
        <f>'Major Activity 1'!B2</f>
        <v>UNDP</v>
      </c>
      <c r="C3" s="10"/>
      <c r="D3" s="10"/>
      <c r="E3" s="10"/>
      <c r="F3" s="10"/>
      <c r="G3" s="13"/>
    </row>
    <row r="4" spans="1:9" ht="15">
      <c r="A4" s="47" t="s">
        <v>364</v>
      </c>
      <c r="B4" s="383" t="str">
        <f>'Snapshot |15 Major Activities'!B3</f>
        <v>Expansion of Successful Poverty Reduction and Women’s Empowerment Model in West Africa Project Number 45498</v>
      </c>
      <c r="C4" s="383"/>
      <c r="D4" s="383"/>
      <c r="E4" s="383"/>
      <c r="F4" s="383"/>
      <c r="G4" s="383"/>
      <c r="H4" s="383"/>
      <c r="I4" s="383"/>
    </row>
    <row r="5" spans="1:10" s="1" customFormat="1" ht="32.25" customHeight="1">
      <c r="A5" s="49" t="s">
        <v>206</v>
      </c>
      <c r="B5" s="384" t="str">
        <f>'Snapshot |15 Major Activities'!B5:C5</f>
        <v>To strengthen human and institutional capacities, including expanding technology and financing options and strengthening knowledge management, in support of implementing national multifunctional platform programs</v>
      </c>
      <c r="C5" s="384"/>
      <c r="D5" s="384"/>
      <c r="E5" s="384"/>
      <c r="F5" s="384"/>
      <c r="G5" s="384"/>
      <c r="H5" s="384"/>
      <c r="I5" s="384"/>
      <c r="J5" s="295"/>
    </row>
    <row r="6" spans="1:11" ht="25.5" customHeight="1" thickBot="1">
      <c r="A6" s="48" t="s">
        <v>195</v>
      </c>
      <c r="B6" s="36" t="str">
        <f>'Basic Info'!C30</f>
        <v>Expand financing options by supporting national partners in identifying micro-credit institutions and developing partnerships to help extend micro-credit to MFP communities  </v>
      </c>
      <c r="C6" s="37"/>
      <c r="D6" s="37"/>
      <c r="E6" s="37"/>
      <c r="F6" s="37"/>
      <c r="G6" s="38"/>
      <c r="J6" s="306"/>
      <c r="K6" s="307"/>
    </row>
    <row r="7" spans="1:10" ht="27.75">
      <c r="A7" s="53" t="s">
        <v>404</v>
      </c>
      <c r="B7" s="51" t="s">
        <v>405</v>
      </c>
      <c r="C7" s="51" t="s">
        <v>409</v>
      </c>
      <c r="D7" s="51" t="s">
        <v>410</v>
      </c>
      <c r="E7" s="51" t="s">
        <v>171</v>
      </c>
      <c r="F7" s="51" t="s">
        <v>169</v>
      </c>
      <c r="G7" s="248" t="s">
        <v>411</v>
      </c>
      <c r="H7" s="52" t="s">
        <v>374</v>
      </c>
      <c r="I7" s="54" t="s">
        <v>362</v>
      </c>
      <c r="J7" s="296"/>
    </row>
    <row r="8" spans="1:11" ht="14.25">
      <c r="A8" s="302" t="s">
        <v>353</v>
      </c>
      <c r="B8" s="176">
        <f>SUM(B9:B10)</f>
        <v>24000</v>
      </c>
      <c r="C8" s="176">
        <f>SUM(C9:C10)</f>
        <v>24000</v>
      </c>
      <c r="D8" s="176">
        <f>SUM(D9:D10)</f>
        <v>24000</v>
      </c>
      <c r="E8" s="176">
        <f>SUM(E9:E10)</f>
        <v>0</v>
      </c>
      <c r="F8" s="176">
        <f>SUM(F9:F10)</f>
        <v>0</v>
      </c>
      <c r="G8" s="249">
        <f>SUM(B8:F8)</f>
        <v>72000</v>
      </c>
      <c r="H8" s="11"/>
      <c r="I8" s="11"/>
      <c r="K8" s="267"/>
    </row>
    <row r="9" spans="1:9" ht="14.25">
      <c r="A9" s="17"/>
      <c r="B9" s="56"/>
      <c r="C9" s="56"/>
      <c r="D9" s="56"/>
      <c r="E9" s="56"/>
      <c r="F9" s="56"/>
      <c r="G9" s="250"/>
      <c r="H9" s="18"/>
      <c r="I9" s="11"/>
    </row>
    <row r="10" spans="1:11" s="279" customFormat="1" ht="45">
      <c r="A10" s="19" t="s">
        <v>94</v>
      </c>
      <c r="B10" s="61">
        <f>8000*3</f>
        <v>24000</v>
      </c>
      <c r="C10" s="61">
        <f>8000*3</f>
        <v>24000</v>
      </c>
      <c r="D10" s="61">
        <f>8000*3</f>
        <v>24000</v>
      </c>
      <c r="E10" s="61"/>
      <c r="F10" s="61"/>
      <c r="G10" s="278"/>
      <c r="H10" s="33"/>
      <c r="I10" s="189" t="s">
        <v>513</v>
      </c>
      <c r="J10" s="295"/>
      <c r="K10" s="1"/>
    </row>
    <row r="11" spans="1:9" ht="14.25">
      <c r="A11" s="34"/>
      <c r="B11" s="207"/>
      <c r="C11" s="207"/>
      <c r="D11" s="207"/>
      <c r="E11" s="194"/>
      <c r="F11" s="194"/>
      <c r="G11" s="260"/>
      <c r="H11" s="35"/>
      <c r="I11" s="168"/>
    </row>
    <row r="12" spans="1:10" ht="14.25">
      <c r="A12" s="302" t="s">
        <v>354</v>
      </c>
      <c r="B12" s="176">
        <f>SUM(B13:B14)</f>
        <v>0</v>
      </c>
      <c r="C12" s="176">
        <f>SUM(C13:C14)</f>
        <v>0</v>
      </c>
      <c r="D12" s="176">
        <f>SUM(D13:D14)</f>
        <v>0</v>
      </c>
      <c r="E12" s="176">
        <f>SUM(E13:E14)</f>
        <v>0</v>
      </c>
      <c r="F12" s="176">
        <f>SUM(F13:F14)</f>
        <v>0</v>
      </c>
      <c r="G12" s="249">
        <f>SUM(B12:F12)</f>
        <v>0</v>
      </c>
      <c r="H12" s="18"/>
      <c r="I12" s="11"/>
      <c r="J12" s="296"/>
    </row>
    <row r="13" spans="1:10" ht="14.25">
      <c r="A13" s="17" t="s">
        <v>406</v>
      </c>
      <c r="B13" s="56"/>
      <c r="C13" s="56"/>
      <c r="D13" s="56"/>
      <c r="E13" s="56"/>
      <c r="F13" s="56"/>
      <c r="G13" s="250"/>
      <c r="H13" s="18"/>
      <c r="I13" s="11"/>
      <c r="J13" s="296"/>
    </row>
    <row r="14" spans="1:10" ht="14.25">
      <c r="A14" s="23"/>
      <c r="B14" s="195"/>
      <c r="C14" s="195"/>
      <c r="D14" s="195"/>
      <c r="E14" s="195"/>
      <c r="F14" s="195"/>
      <c r="G14" s="252"/>
      <c r="H14" s="24"/>
      <c r="I14" s="23"/>
      <c r="J14" s="296"/>
    </row>
    <row r="15" spans="1:9" ht="14.25">
      <c r="A15" s="302" t="s">
        <v>352</v>
      </c>
      <c r="B15" s="176">
        <f>SUM(B16:B19)</f>
        <v>95000</v>
      </c>
      <c r="C15" s="176">
        <f>SUM(C16:C19)</f>
        <v>17500</v>
      </c>
      <c r="D15" s="176">
        <f>SUM(D16:D19)</f>
        <v>60000</v>
      </c>
      <c r="E15" s="176">
        <f>SUM(E16:E19)</f>
        <v>0</v>
      </c>
      <c r="F15" s="176">
        <f>SUM(F16:F19)</f>
        <v>0</v>
      </c>
      <c r="G15" s="249">
        <f>SUM(B15:F15)</f>
        <v>172500</v>
      </c>
      <c r="H15" s="11"/>
      <c r="I15" s="11"/>
    </row>
    <row r="16" spans="1:9" ht="14.25">
      <c r="A16" s="19" t="s">
        <v>370</v>
      </c>
      <c r="B16" s="193"/>
      <c r="C16" s="193"/>
      <c r="D16" s="193"/>
      <c r="E16" s="193"/>
      <c r="F16" s="193"/>
      <c r="G16" s="259"/>
      <c r="H16" s="1"/>
      <c r="I16" s="2"/>
    </row>
    <row r="17" spans="1:9" ht="33.75">
      <c r="A17" s="19" t="s">
        <v>486</v>
      </c>
      <c r="B17" s="61">
        <f>2500*3</f>
        <v>7500</v>
      </c>
      <c r="C17" s="61">
        <f>2500*1</f>
        <v>2500</v>
      </c>
      <c r="D17" s="61">
        <f>2500*1</f>
        <v>2500</v>
      </c>
      <c r="E17" s="61"/>
      <c r="F17" s="61"/>
      <c r="G17" s="253"/>
      <c r="H17" s="86"/>
      <c r="I17" s="189" t="s">
        <v>450</v>
      </c>
    </row>
    <row r="18" spans="1:11" ht="33.75">
      <c r="A18" s="189" t="s">
        <v>556</v>
      </c>
      <c r="B18" s="61">
        <f>2500*23</f>
        <v>57500</v>
      </c>
      <c r="D18" s="61">
        <f>2500*23</f>
        <v>57500</v>
      </c>
      <c r="E18" s="61"/>
      <c r="F18" s="61"/>
      <c r="G18" s="253"/>
      <c r="H18" s="86"/>
      <c r="I18" s="189" t="s">
        <v>511</v>
      </c>
      <c r="J18" s="300"/>
      <c r="K18" s="267"/>
    </row>
    <row r="19" spans="1:9" ht="45">
      <c r="A19" s="34" t="s">
        <v>555</v>
      </c>
      <c r="B19" s="196">
        <f>10*2*1500</f>
        <v>30000</v>
      </c>
      <c r="C19" s="196">
        <f>10*1*1500</f>
        <v>15000</v>
      </c>
      <c r="D19" s="194"/>
      <c r="E19" s="194"/>
      <c r="F19" s="194"/>
      <c r="G19" s="260"/>
      <c r="H19" s="35"/>
      <c r="I19" s="34" t="s">
        <v>1</v>
      </c>
    </row>
    <row r="20" spans="1:11" ht="14.25">
      <c r="A20" s="302" t="s">
        <v>359</v>
      </c>
      <c r="B20" s="176">
        <f>SUM(B21:B22)</f>
        <v>21000</v>
      </c>
      <c r="C20" s="176">
        <f>SUM(C21:C22)</f>
        <v>3000</v>
      </c>
      <c r="D20" s="176">
        <f>SUM(D21:D22)</f>
        <v>15000</v>
      </c>
      <c r="E20" s="176">
        <f>SUM(E21:E22)</f>
        <v>0</v>
      </c>
      <c r="F20" s="176">
        <f>SUM(F21:F22)</f>
        <v>0</v>
      </c>
      <c r="G20" s="249">
        <f>SUM(B20:F20)</f>
        <v>39000</v>
      </c>
      <c r="H20" s="11"/>
      <c r="I20" s="11"/>
      <c r="K20" s="267"/>
    </row>
    <row r="21" spans="1:9" ht="36">
      <c r="A21" s="189" t="s">
        <v>151</v>
      </c>
      <c r="B21" s="61">
        <f>15000*0.5*2</f>
        <v>15000</v>
      </c>
      <c r="C21" s="61"/>
      <c r="D21" s="61">
        <f>15000*0.5*2</f>
        <v>15000</v>
      </c>
      <c r="E21" s="61"/>
      <c r="F21" s="61"/>
      <c r="G21" s="259"/>
      <c r="H21" s="1"/>
      <c r="I21" s="177" t="s">
        <v>152</v>
      </c>
    </row>
    <row r="22" spans="1:11" s="279" customFormat="1" ht="42.75" customHeight="1">
      <c r="A22" s="34" t="s">
        <v>153</v>
      </c>
      <c r="B22" s="207">
        <f>3000*2</f>
        <v>6000</v>
      </c>
      <c r="C22" s="207">
        <f>3000*1</f>
        <v>3000</v>
      </c>
      <c r="D22" s="194"/>
      <c r="E22" s="194"/>
      <c r="F22" s="194"/>
      <c r="G22" s="260"/>
      <c r="H22" s="35"/>
      <c r="I22" s="178" t="s">
        <v>154</v>
      </c>
      <c r="J22" s="296"/>
      <c r="K22" s="1"/>
    </row>
    <row r="23" spans="1:10" ht="14.25">
      <c r="A23" s="302" t="s">
        <v>356</v>
      </c>
      <c r="B23" s="176">
        <f>SUM(B24:B26)</f>
        <v>20000</v>
      </c>
      <c r="C23" s="176">
        <f>SUM(C24:C26)</f>
        <v>5000</v>
      </c>
      <c r="D23" s="176">
        <f>SUM(D24:D26)</f>
        <v>10000</v>
      </c>
      <c r="E23" s="176">
        <f>SUM(E24:E26)</f>
        <v>0</v>
      </c>
      <c r="F23" s="176">
        <f>SUM(F24:F26)</f>
        <v>0</v>
      </c>
      <c r="G23" s="249">
        <f>SUM(B23:F23)</f>
        <v>35000</v>
      </c>
      <c r="H23" s="18"/>
      <c r="I23" s="11"/>
      <c r="J23" s="296"/>
    </row>
    <row r="24" spans="1:11" ht="14.25">
      <c r="A24" s="17" t="s">
        <v>407</v>
      </c>
      <c r="B24" s="56"/>
      <c r="C24" s="56"/>
      <c r="D24" s="56"/>
      <c r="E24" s="56"/>
      <c r="F24" s="56"/>
      <c r="G24" s="249"/>
      <c r="H24" s="18"/>
      <c r="I24" s="11"/>
      <c r="K24" s="267"/>
    </row>
    <row r="25" spans="1:9" ht="24">
      <c r="A25" s="189" t="s">
        <v>177</v>
      </c>
      <c r="B25" s="61">
        <f>10000*1</f>
        <v>10000</v>
      </c>
      <c r="C25" s="61"/>
      <c r="D25" s="61">
        <f>10000*1</f>
        <v>10000</v>
      </c>
      <c r="E25" s="61"/>
      <c r="F25" s="61"/>
      <c r="G25" s="259"/>
      <c r="H25" s="1"/>
      <c r="I25" s="177" t="s">
        <v>512</v>
      </c>
    </row>
    <row r="26" spans="1:11" s="279" customFormat="1" ht="32.25" customHeight="1">
      <c r="A26" s="174" t="s">
        <v>178</v>
      </c>
      <c r="B26" s="280">
        <f>5000*2</f>
        <v>10000</v>
      </c>
      <c r="C26" s="280">
        <f>5000*1</f>
        <v>5000</v>
      </c>
      <c r="D26" s="194"/>
      <c r="E26" s="194"/>
      <c r="F26" s="194"/>
      <c r="G26" s="260"/>
      <c r="H26" s="35"/>
      <c r="I26" s="178" t="s">
        <v>554</v>
      </c>
      <c r="J26" s="296"/>
      <c r="K26" s="1"/>
    </row>
    <row r="27" spans="1:11" ht="12.75">
      <c r="A27" s="302" t="s">
        <v>357</v>
      </c>
      <c r="B27" s="176">
        <f>SUM(B28:B29)</f>
        <v>0</v>
      </c>
      <c r="C27" s="176">
        <f>SUM(C28:C29)</f>
        <v>0</v>
      </c>
      <c r="D27" s="176">
        <f>SUM(D28:D29)</f>
        <v>0</v>
      </c>
      <c r="E27" s="176">
        <f>SUM(E28:E29)</f>
        <v>0</v>
      </c>
      <c r="F27" s="176">
        <f>SUM(F28:F29)</f>
        <v>0</v>
      </c>
      <c r="G27" s="249">
        <f>SUM(B27:F27)</f>
        <v>0</v>
      </c>
      <c r="H27" s="11"/>
      <c r="I27" s="11"/>
      <c r="J27" s="296"/>
      <c r="K27" s="267"/>
    </row>
    <row r="28" spans="1:9" ht="21.75" customHeight="1">
      <c r="A28" s="11"/>
      <c r="B28" s="56"/>
      <c r="C28" s="56"/>
      <c r="D28" s="56"/>
      <c r="E28" s="56"/>
      <c r="F28" s="56"/>
      <c r="G28" s="250"/>
      <c r="H28" s="18"/>
      <c r="I28" s="19"/>
    </row>
    <row r="29" spans="1:10" ht="14.25">
      <c r="A29" s="174"/>
      <c r="B29" s="231"/>
      <c r="C29" s="231"/>
      <c r="D29" s="231"/>
      <c r="E29" s="194"/>
      <c r="F29" s="194"/>
      <c r="G29" s="260"/>
      <c r="H29" s="35"/>
      <c r="I29" s="168"/>
      <c r="J29" s="296"/>
    </row>
    <row r="30" spans="1:9" ht="14.25">
      <c r="A30" s="302" t="s">
        <v>358</v>
      </c>
      <c r="B30" s="176">
        <f>SUM(B31:B32)</f>
        <v>0</v>
      </c>
      <c r="C30" s="176">
        <f>SUM(C31:C32)</f>
        <v>0</v>
      </c>
      <c r="D30" s="176">
        <f>SUM(D31:D32)</f>
        <v>0</v>
      </c>
      <c r="E30" s="176">
        <f>SUM(E31:E32)</f>
        <v>0</v>
      </c>
      <c r="F30" s="176">
        <f>SUM(F31:F32)</f>
        <v>0</v>
      </c>
      <c r="G30" s="249">
        <f>SUM(B30:F30)</f>
        <v>0</v>
      </c>
      <c r="H30" s="11"/>
      <c r="I30" s="11"/>
    </row>
    <row r="31" spans="1:10" ht="14.25">
      <c r="A31" s="17" t="s">
        <v>408</v>
      </c>
      <c r="B31" s="56"/>
      <c r="C31" s="56"/>
      <c r="D31" s="56"/>
      <c r="E31" s="56"/>
      <c r="F31" s="56"/>
      <c r="G31" s="250"/>
      <c r="H31" s="18"/>
      <c r="I31" s="11"/>
      <c r="J31" s="296"/>
    </row>
    <row r="32" spans="1:10" ht="14.25">
      <c r="A32" s="35"/>
      <c r="B32" s="194"/>
      <c r="C32" s="194"/>
      <c r="D32" s="194"/>
      <c r="E32" s="194"/>
      <c r="F32" s="194"/>
      <c r="G32" s="260"/>
      <c r="H32" s="35"/>
      <c r="I32" s="168"/>
      <c r="J32" s="296"/>
    </row>
    <row r="33" spans="1:9" ht="14.25">
      <c r="A33" s="302" t="s">
        <v>355</v>
      </c>
      <c r="B33" s="176">
        <f>SUM(B34:B34)</f>
        <v>0</v>
      </c>
      <c r="C33" s="176">
        <f>SUM(C34:C34)</f>
        <v>0</v>
      </c>
      <c r="D33" s="176">
        <f>SUM(D34:D34)</f>
        <v>0</v>
      </c>
      <c r="E33" s="176">
        <f>SUM(E34:E34)</f>
        <v>0</v>
      </c>
      <c r="F33" s="176">
        <f>SUM(F34:F34)</f>
        <v>0</v>
      </c>
      <c r="G33" s="249">
        <f>SUM(B33:F33)</f>
        <v>0</v>
      </c>
      <c r="H33" s="11"/>
      <c r="I33" s="11"/>
    </row>
    <row r="34" spans="1:11" ht="14.25">
      <c r="A34" s="26"/>
      <c r="B34" s="231"/>
      <c r="C34" s="231"/>
      <c r="D34" s="231"/>
      <c r="E34" s="194"/>
      <c r="F34" s="194"/>
      <c r="G34" s="260"/>
      <c r="H34" s="35"/>
      <c r="I34" s="168"/>
      <c r="J34" s="296"/>
      <c r="K34" s="267"/>
    </row>
    <row r="35" spans="1:11" ht="14.25">
      <c r="A35" s="309" t="s">
        <v>205</v>
      </c>
      <c r="B35" s="249">
        <f aca="true" t="shared" si="0" ref="B35:G35">SUM(B33,B27,B23,B20,B15,B12,B8)</f>
        <v>160000</v>
      </c>
      <c r="C35" s="249">
        <f t="shared" si="0"/>
        <v>49500</v>
      </c>
      <c r="D35" s="249">
        <f t="shared" si="0"/>
        <v>109000</v>
      </c>
      <c r="E35" s="249">
        <f t="shared" si="0"/>
        <v>0</v>
      </c>
      <c r="F35" s="249">
        <f t="shared" si="0"/>
        <v>0</v>
      </c>
      <c r="G35" s="249">
        <f t="shared" si="0"/>
        <v>318500</v>
      </c>
      <c r="H35" s="20"/>
      <c r="I35" s="11"/>
      <c r="K35" s="297"/>
    </row>
    <row r="36" spans="1:11" ht="15.75">
      <c r="A36" s="258"/>
      <c r="B36" s="255"/>
      <c r="C36" s="255"/>
      <c r="D36" s="255"/>
      <c r="E36" s="255"/>
      <c r="F36" s="255"/>
      <c r="G36" s="255"/>
      <c r="H36" s="27"/>
      <c r="I36" s="23"/>
      <c r="J36" s="306"/>
      <c r="K36" s="307"/>
    </row>
    <row r="37" spans="1:11" ht="14.25">
      <c r="A37" s="1"/>
      <c r="B37" s="1"/>
      <c r="C37" s="1"/>
      <c r="D37" s="1"/>
      <c r="E37" s="1"/>
      <c r="F37" s="1"/>
      <c r="G37" s="2"/>
      <c r="H37" s="33"/>
      <c r="I37" s="33"/>
      <c r="K37" s="266"/>
    </row>
    <row r="38" spans="1:9" ht="14.25">
      <c r="A38" s="1"/>
      <c r="B38" s="1"/>
      <c r="C38" s="1"/>
      <c r="D38" s="1"/>
      <c r="E38" s="1"/>
      <c r="F38" s="1"/>
      <c r="G38" s="1"/>
      <c r="H38" s="1"/>
      <c r="I38" s="1"/>
    </row>
  </sheetData>
  <sheetProtection/>
  <mergeCells count="2">
    <mergeCell ref="B5:I5"/>
    <mergeCell ref="B4:I4"/>
  </mergeCells>
  <printOptions horizontalCentered="1"/>
  <pageMargins left="0.2362204724409449" right="0.2362204724409449" top="0.2362204724409449" bottom="0.5118110236220472" header="0" footer="0.2362204724409449"/>
  <pageSetup fitToHeight="1" fitToWidth="1" horizontalDpi="600" verticalDpi="600" orientation="landscape" paperSize="9" scale="76" r:id="rId2"/>
  <headerFooter alignWithMargins="0">
    <oddFooter>&amp;R&amp;8Page &amp;P of &amp;N
Rev: 04/15/05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Bill and Melinda Gates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shea</dc:creator>
  <cp:keywords/>
  <dc:description/>
  <cp:lastModifiedBy>armande.sawadogo</cp:lastModifiedBy>
  <cp:lastPrinted>2008-01-28T21:54:30Z</cp:lastPrinted>
  <dcterms:created xsi:type="dcterms:W3CDTF">2003-02-05T17:37:24Z</dcterms:created>
  <dcterms:modified xsi:type="dcterms:W3CDTF">2010-10-20T09:18:58Z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Type">
    <vt:lpwstr>2_Templates</vt:lpwstr>
  </property>
  <property fmtid="{D5CDD505-2E9C-101B-9397-08002B2CF9AE}" pid="3" name="Status">
    <vt:lpwstr>Draft</vt:lpwstr>
  </property>
  <property fmtid="{D5CDD505-2E9C-101B-9397-08002B2CF9AE}" pid="4" name="UN LanguagesTaxHTField0">
    <vt:lpwstr/>
  </property>
  <property fmtid="{D5CDD505-2E9C-101B-9397-08002B2CF9AE}" pid="5" name="UNDPFocusAreasTaxHTField0">
    <vt:lpwstr/>
  </property>
  <property fmtid="{D5CDD505-2E9C-101B-9397-08002B2CF9AE}" pid="6" name="o4086b1782a74105bb5269035bccc8e9">
    <vt:lpwstr/>
  </property>
  <property fmtid="{D5CDD505-2E9C-101B-9397-08002B2CF9AE}" pid="7" name="gc6531b704974d528487414686b72f6f">
    <vt:lpwstr>BFA|beb9a117-6427-4115-a382-607a6a2444f2</vt:lpwstr>
  </property>
  <property fmtid="{D5CDD505-2E9C-101B-9397-08002B2CF9AE}" pid="8" name="Operating Unit0">
    <vt:lpwstr>1207;#BFA|beb9a117-6427-4115-a382-607a6a2444f2</vt:lpwstr>
  </property>
  <property fmtid="{D5CDD505-2E9C-101B-9397-08002B2CF9AE}" pid="9" name="Unit">
    <vt:lpwstr/>
  </property>
  <property fmtid="{D5CDD505-2E9C-101B-9397-08002B2CF9AE}" pid="10" name="UnitTaxHTField0">
    <vt:lpwstr/>
  </property>
  <property fmtid="{D5CDD505-2E9C-101B-9397-08002B2CF9AE}" pid="11" name="idff2b682fce4d0680503cd9036a3260">
    <vt:lpwstr/>
  </property>
  <property fmtid="{D5CDD505-2E9C-101B-9397-08002B2CF9AE}" pid="12" name="UNDPDocumentCategoryTaxHTField0">
    <vt:lpwstr/>
  </property>
  <property fmtid="{D5CDD505-2E9C-101B-9397-08002B2CF9AE}" pid="13" name="UNDPFocusAreas">
    <vt:lpwstr/>
  </property>
  <property fmtid="{D5CDD505-2E9C-101B-9397-08002B2CF9AE}" pid="14" name="PDC Document Category">
    <vt:lpwstr>Project</vt:lpwstr>
  </property>
  <property fmtid="{D5CDD505-2E9C-101B-9397-08002B2CF9AE}" pid="15" name="TaxCatchAll">
    <vt:lpwstr>1207;#BFA|beb9a117-6427-4115-a382-607a6a2444f2</vt:lpwstr>
  </property>
  <property fmtid="{D5CDD505-2E9C-101B-9397-08002B2CF9AE}" pid="16" name="Project Number">
    <vt:lpwstr>00050279</vt:lpwstr>
  </property>
  <property fmtid="{D5CDD505-2E9C-101B-9397-08002B2CF9AE}" pid="17" name="Atlas_x0020_Document_x0020_Type">
    <vt:lpwstr/>
  </property>
  <property fmtid="{D5CDD505-2E9C-101B-9397-08002B2CF9AE}" pid="18" name="Atlas_x0020_Document_x0020_Status">
    <vt:lpwstr/>
  </property>
  <property fmtid="{D5CDD505-2E9C-101B-9397-08002B2CF9AE}" pid="19" name="UN Languages">
    <vt:lpwstr/>
  </property>
  <property fmtid="{D5CDD505-2E9C-101B-9397-08002B2CF9AE}" pid="20" name="UNDPDocumentCategory">
    <vt:lpwstr/>
  </property>
  <property fmtid="{D5CDD505-2E9C-101B-9397-08002B2CF9AE}" pid="21" name="UndpProjectNo">
    <vt:lpwstr>00050279</vt:lpwstr>
  </property>
  <property fmtid="{D5CDD505-2E9C-101B-9397-08002B2CF9AE}" pid="22" name="_dlc_DocId">
    <vt:lpwstr>ATLASPDC-3-1064</vt:lpwstr>
  </property>
  <property fmtid="{D5CDD505-2E9C-101B-9397-08002B2CF9AE}" pid="23" name="_dlc_DocIdItemGuid">
    <vt:lpwstr>4662c80b-44a0-4bf8-aca7-4b8ef6c8f0ae</vt:lpwstr>
  </property>
  <property fmtid="{D5CDD505-2E9C-101B-9397-08002B2CF9AE}" pid="24" name="_dlc_DocIdUrl">
    <vt:lpwstr>https://info.undp.org/docs/pdc/_layouts/DocIdRedir.aspx?ID=ATLASPDC-3-1064, ATLASPDC-3-1064</vt:lpwstr>
  </property>
  <property fmtid="{D5CDD505-2E9C-101B-9397-08002B2CF9AE}" pid="25" name="UNDPPOPPFunctionalArea">
    <vt:lpwstr/>
  </property>
  <property fmtid="{D5CDD505-2E9C-101B-9397-08002B2CF9AE}" pid="26" name="UNDPCountry">
    <vt:lpwstr/>
  </property>
  <property fmtid="{D5CDD505-2E9C-101B-9397-08002B2CF9AE}" pid="27" name="_Publisher">
    <vt:lpwstr/>
  </property>
  <property fmtid="{D5CDD505-2E9C-101B-9397-08002B2CF9AE}" pid="28" name="UndpDocStatus">
    <vt:lpwstr/>
  </property>
  <property fmtid="{D5CDD505-2E9C-101B-9397-08002B2CF9AE}" pid="29" name="UndpOUCode">
    <vt:lpwstr/>
  </property>
  <property fmtid="{D5CDD505-2E9C-101B-9397-08002B2CF9AE}" pid="30" name="UndpDocTypeMM">
    <vt:lpwstr/>
  </property>
  <property fmtid="{D5CDD505-2E9C-101B-9397-08002B2CF9AE}" pid="31" name="URL">
    <vt:lpwstr/>
  </property>
  <property fmtid="{D5CDD505-2E9C-101B-9397-08002B2CF9AE}" pid="32" name="b6db62fdefd74bd188b0c1cc54de5bcf">
    <vt:lpwstr/>
  </property>
  <property fmtid="{D5CDD505-2E9C-101B-9397-08002B2CF9AE}" pid="33" name="UndpDocID">
    <vt:lpwstr/>
  </property>
  <property fmtid="{D5CDD505-2E9C-101B-9397-08002B2CF9AE}" pid="34" name="Project Manager">
    <vt:lpwstr/>
  </property>
  <property fmtid="{D5CDD505-2E9C-101B-9397-08002B2CF9AE}" pid="35" name="UndpIsTemplate">
    <vt:lpwstr/>
  </property>
  <property fmtid="{D5CDD505-2E9C-101B-9397-08002B2CF9AE}" pid="36" name="Outcome1">
    <vt:lpwstr/>
  </property>
  <property fmtid="{D5CDD505-2E9C-101B-9397-08002B2CF9AE}" pid="37" name="UNDPSummary">
    <vt:lpwstr/>
  </property>
  <property fmtid="{D5CDD505-2E9C-101B-9397-08002B2CF9AE}" pid="38" name="UndpDocFormat">
    <vt:lpwstr/>
  </property>
  <property fmtid="{D5CDD505-2E9C-101B-9397-08002B2CF9AE}" pid="39" name="UndpDocTypeMMTaxHTField0">
    <vt:lpwstr/>
  </property>
  <property fmtid="{D5CDD505-2E9C-101B-9397-08002B2CF9AE}" pid="40" name="UNDPCountryTaxHTField0">
    <vt:lpwstr/>
  </property>
  <property fmtid="{D5CDD505-2E9C-101B-9397-08002B2CF9AE}" pid="41" name="DocumentSetDescription">
    <vt:lpwstr/>
  </property>
  <property fmtid="{D5CDD505-2E9C-101B-9397-08002B2CF9AE}" pid="42" name="UndpUnitMM">
    <vt:lpwstr/>
  </property>
  <property fmtid="{D5CDD505-2E9C-101B-9397-08002B2CF9AE}" pid="43" name="UndpClassificationLevel">
    <vt:lpwstr/>
  </property>
  <property fmtid="{D5CDD505-2E9C-101B-9397-08002B2CF9AE}" pid="44" name="c4e2ab2cc9354bbf9064eeb465a566ea">
    <vt:lpwstr/>
  </property>
  <property fmtid="{D5CDD505-2E9C-101B-9397-08002B2CF9AE}" pid="45" name="eRegFilingCodeMM">
    <vt:lpwstr/>
  </property>
  <property fmtid="{D5CDD505-2E9C-101B-9397-08002B2CF9AE}" pid="46" name="display_urn:schemas-microsoft-com:office:office#Editor">
    <vt:lpwstr>svcSP_AdminPI_UNDP</vt:lpwstr>
  </property>
  <property fmtid="{D5CDD505-2E9C-101B-9397-08002B2CF9AE}" pid="47" name="display_urn:schemas-microsoft-com:office:office#Author">
    <vt:lpwstr>Sai Charan</vt:lpwstr>
  </property>
</Properties>
</file>